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M:\Datos\Finanzas\Relacion con Inversores\02 IRM\Website\Nuevo website\Info Financiera\Kit Investor\"/>
    </mc:Choice>
  </mc:AlternateContent>
  <bookViews>
    <workbookView xWindow="0" yWindow="0" windowWidth="24000" windowHeight="8835"/>
  </bookViews>
  <sheets>
    <sheet name="RRE Sample Accounting" sheetId="6" r:id="rId1"/>
  </sheets>
  <definedNames>
    <definedName name="_xlnm.Print_Area" localSheetId="0">'RRE Sample Accounting'!$B$2:$K$15</definedName>
  </definedNames>
  <calcPr calcId="152511" calcOnSave="0"/>
</workbook>
</file>

<file path=xl/calcChain.xml><?xml version="1.0" encoding="utf-8"?>
<calcChain xmlns="http://schemas.openxmlformats.org/spreadsheetml/2006/main">
  <c r="H111" i="6" l="1"/>
  <c r="G111" i="6"/>
  <c r="F111" i="6"/>
  <c r="H101" i="6"/>
  <c r="H104" i="6" s="1"/>
  <c r="G101" i="6"/>
  <c r="G104" i="6" s="1"/>
  <c r="F101" i="6"/>
  <c r="F104" i="6" s="1"/>
  <c r="H76" i="6"/>
  <c r="G76" i="6"/>
  <c r="F76" i="6"/>
  <c r="B60" i="6"/>
  <c r="B59" i="6"/>
  <c r="B58" i="6"/>
  <c r="B57" i="6"/>
  <c r="B55" i="6"/>
  <c r="B54" i="6"/>
  <c r="B53" i="6"/>
  <c r="B52" i="6"/>
  <c r="B50" i="6"/>
  <c r="B49" i="6"/>
  <c r="B48" i="6"/>
  <c r="B47" i="6"/>
  <c r="H46" i="6"/>
  <c r="G46" i="6"/>
  <c r="F46" i="6"/>
  <c r="D46" i="6"/>
  <c r="B45" i="6"/>
  <c r="B44" i="6"/>
  <c r="B43" i="6"/>
  <c r="B42" i="6"/>
  <c r="B40" i="6"/>
  <c r="B39" i="6"/>
  <c r="B38" i="6"/>
  <c r="B37" i="6"/>
  <c r="H29" i="6"/>
  <c r="H30" i="6" s="1"/>
  <c r="G29" i="6"/>
  <c r="G30" i="6" s="1"/>
  <c r="F29" i="6"/>
  <c r="I28" i="6"/>
  <c r="I29" i="6" s="1"/>
  <c r="I30" i="6" s="1"/>
  <c r="G24" i="6"/>
  <c r="I31" i="6" l="1"/>
  <c r="I50" i="6" s="1"/>
  <c r="K50" i="6" s="1"/>
  <c r="H31" i="6"/>
  <c r="H44" i="6" s="1"/>
  <c r="K44" i="6" s="1"/>
  <c r="G31" i="6"/>
  <c r="G38" i="6" s="1"/>
  <c r="K29" i="6"/>
  <c r="F30" i="6"/>
  <c r="F31" i="6" s="1"/>
  <c r="F42" i="6" s="1"/>
  <c r="H90" i="6"/>
  <c r="H91" i="6" s="1"/>
  <c r="G114" i="6"/>
  <c r="G115" i="6" s="1"/>
  <c r="H79" i="6"/>
  <c r="H80" i="6" s="1"/>
  <c r="K28" i="6"/>
  <c r="G79" i="6"/>
  <c r="G80" i="6" s="1"/>
  <c r="H114" i="6"/>
  <c r="H115" i="6" s="1"/>
  <c r="G66" i="6"/>
  <c r="H24" i="6"/>
  <c r="H66" i="6" s="1"/>
  <c r="F90" i="6"/>
  <c r="F91" i="6" s="1"/>
  <c r="F114" i="6"/>
  <c r="F65" i="6"/>
  <c r="F79" i="6"/>
  <c r="G90" i="6"/>
  <c r="G91" i="6" s="1"/>
  <c r="I40" i="6" l="1"/>
  <c r="K40" i="6" s="1"/>
  <c r="I45" i="6"/>
  <c r="K45" i="6" s="1"/>
  <c r="I49" i="6"/>
  <c r="K49" i="6" s="1"/>
  <c r="G43" i="6"/>
  <c r="H39" i="6"/>
  <c r="K39" i="6" s="1"/>
  <c r="H43" i="6"/>
  <c r="I48" i="6"/>
  <c r="K48" i="6" s="1"/>
  <c r="H42" i="6"/>
  <c r="F37" i="6"/>
  <c r="F36" i="6" s="1"/>
  <c r="K30" i="6"/>
  <c r="H32" i="6" s="1"/>
  <c r="G42" i="6"/>
  <c r="K31" i="6"/>
  <c r="I47" i="6"/>
  <c r="K47" i="6" s="1"/>
  <c r="F80" i="6"/>
  <c r="I36" i="6"/>
  <c r="I24" i="6"/>
  <c r="I41" i="6"/>
  <c r="K65" i="6"/>
  <c r="F67" i="6"/>
  <c r="F115" i="6"/>
  <c r="F41" i="6"/>
  <c r="K38" i="6"/>
  <c r="G36" i="6"/>
  <c r="I32" i="6" l="1"/>
  <c r="K43" i="6"/>
  <c r="K37" i="6"/>
  <c r="K36" i="6" s="1"/>
  <c r="H36" i="6"/>
  <c r="G41" i="6"/>
  <c r="G54" i="6" s="1"/>
  <c r="I46" i="6"/>
  <c r="I53" i="6" s="1"/>
  <c r="F32" i="6"/>
  <c r="G32" i="6"/>
  <c r="F51" i="6"/>
  <c r="H41" i="6"/>
  <c r="K46" i="6"/>
  <c r="G52" i="6"/>
  <c r="G53" i="6"/>
  <c r="F58" i="6"/>
  <c r="K42" i="6"/>
  <c r="K41" i="6" s="1"/>
  <c r="I66" i="6"/>
  <c r="F84" i="6"/>
  <c r="G67" i="6"/>
  <c r="F60" i="6"/>
  <c r="F55" i="6"/>
  <c r="F59" i="6"/>
  <c r="F53" i="6"/>
  <c r="F54" i="6"/>
  <c r="F57" i="6"/>
  <c r="F52" i="6"/>
  <c r="H51" i="6" l="1"/>
  <c r="G58" i="6"/>
  <c r="G60" i="6"/>
  <c r="G57" i="6"/>
  <c r="G55" i="6"/>
  <c r="G51" i="6"/>
  <c r="G59" i="6"/>
  <c r="I58" i="6"/>
  <c r="I52" i="6"/>
  <c r="I60" i="6"/>
  <c r="I55" i="6"/>
  <c r="I54" i="6"/>
  <c r="I57" i="6"/>
  <c r="I59" i="6"/>
  <c r="I51" i="6"/>
  <c r="H57" i="6"/>
  <c r="H60" i="6"/>
  <c r="H53" i="6"/>
  <c r="K53" i="6" s="1"/>
  <c r="H54" i="6"/>
  <c r="H52" i="6"/>
  <c r="H55" i="6"/>
  <c r="H58" i="6"/>
  <c r="H59" i="6"/>
  <c r="K51" i="6"/>
  <c r="G84" i="6"/>
  <c r="H67" i="6"/>
  <c r="I100" i="6"/>
  <c r="K100" i="6" s="1"/>
  <c r="K66" i="6"/>
  <c r="K67" i="6" s="1"/>
  <c r="I75" i="6" s="1"/>
  <c r="K75" i="6" s="1"/>
  <c r="M75" i="6" s="1"/>
  <c r="I110" i="6"/>
  <c r="K110" i="6" s="1"/>
  <c r="F56" i="6"/>
  <c r="F61" i="6" s="1"/>
  <c r="I56" i="6" l="1"/>
  <c r="I61" i="6" s="1"/>
  <c r="K59" i="6"/>
  <c r="G56" i="6"/>
  <c r="G61" i="6" s="1"/>
  <c r="G87" i="6" s="1"/>
  <c r="G88" i="6" s="1"/>
  <c r="G93" i="6" s="1"/>
  <c r="K60" i="6"/>
  <c r="K54" i="6"/>
  <c r="K58" i="6"/>
  <c r="K52" i="6"/>
  <c r="K55" i="6"/>
  <c r="K57" i="6"/>
  <c r="H56" i="6"/>
  <c r="H61" i="6" s="1"/>
  <c r="F87" i="6"/>
  <c r="F88" i="6" s="1"/>
  <c r="F93" i="6" s="1"/>
  <c r="F83" i="6"/>
  <c r="H84" i="6"/>
  <c r="I67" i="6"/>
  <c r="I84" i="6" s="1"/>
  <c r="K84" i="6" s="1"/>
  <c r="K56" i="6" l="1"/>
  <c r="K61" i="6" s="1"/>
  <c r="I74" i="6"/>
  <c r="I87" i="6" s="1"/>
  <c r="I109" i="6"/>
  <c r="I111" i="6" s="1"/>
  <c r="I99" i="6"/>
  <c r="K99" i="6" s="1"/>
  <c r="H87" i="6"/>
  <c r="H88" i="6" s="1"/>
  <c r="H93" i="6" s="1"/>
  <c r="I88" i="6"/>
  <c r="K87" i="6"/>
  <c r="K88" i="6" s="1"/>
  <c r="F85" i="6"/>
  <c r="F95" i="6" s="1"/>
  <c r="G83" i="6"/>
  <c r="I76" i="6"/>
  <c r="K74" i="6"/>
  <c r="M74" i="6" l="1"/>
  <c r="K109" i="6"/>
  <c r="I101" i="6"/>
  <c r="I104" i="6" s="1"/>
  <c r="I79" i="6"/>
  <c r="I77" i="6"/>
  <c r="I90" i="6"/>
  <c r="K76" i="6"/>
  <c r="K77" i="6" s="1"/>
  <c r="I112" i="6"/>
  <c r="I114" i="6"/>
  <c r="K111" i="6"/>
  <c r="K112" i="6" s="1"/>
  <c r="G85" i="6"/>
  <c r="G95" i="6" s="1"/>
  <c r="H83" i="6"/>
  <c r="K101" i="6" l="1"/>
  <c r="K104" i="6" s="1"/>
  <c r="I102" i="6"/>
  <c r="I115" i="6"/>
  <c r="K114" i="6"/>
  <c r="K115" i="6" s="1"/>
  <c r="I91" i="6"/>
  <c r="I93" i="6" s="1"/>
  <c r="K90" i="6"/>
  <c r="K91" i="6" s="1"/>
  <c r="K93" i="6" s="1"/>
  <c r="H85" i="6"/>
  <c r="H95" i="6" s="1"/>
  <c r="I83" i="6"/>
  <c r="I80" i="6"/>
  <c r="K79" i="6"/>
  <c r="K80" i="6" s="1"/>
  <c r="K102" i="6" l="1"/>
  <c r="K105" i="6"/>
  <c r="K116" i="6"/>
  <c r="I85" i="6"/>
  <c r="I95" i="6" s="1"/>
  <c r="K83" i="6"/>
  <c r="K85" i="6" s="1"/>
  <c r="K95" i="6" s="1"/>
</calcChain>
</file>

<file path=xl/sharedStrings.xml><?xml version="1.0" encoding="utf-8"?>
<sst xmlns="http://schemas.openxmlformats.org/spreadsheetml/2006/main" count="85" uniqueCount="73">
  <si>
    <t>Revenue</t>
  </si>
  <si>
    <t>COGS</t>
  </si>
  <si>
    <t>Total assets</t>
  </si>
  <si>
    <t>Total liabilities</t>
  </si>
  <si>
    <t>Total equity</t>
  </si>
  <si>
    <t>Total liabilities &amp; equity</t>
  </si>
  <si>
    <t>TGLT</t>
  </si>
  <si>
    <t>INCOME STATEMENT</t>
  </si>
  <si>
    <t>TOTAL</t>
  </si>
  <si>
    <t>BALANCE SHEET</t>
  </si>
  <si>
    <t>Equity</t>
  </si>
  <si>
    <t>Land</t>
  </si>
  <si>
    <t>Cum. %</t>
  </si>
  <si>
    <t>Cash &amp; Equivalents</t>
  </si>
  <si>
    <t>Sale</t>
  </si>
  <si>
    <t>Sale &amp; Construction</t>
  </si>
  <si>
    <t>Units sold</t>
  </si>
  <si>
    <t>sqm sold</t>
  </si>
  <si>
    <t>FX | INFLATION</t>
  </si>
  <si>
    <t>FX</t>
  </si>
  <si>
    <t>Inflation</t>
  </si>
  <si>
    <t>COLLECTIONS</t>
  </si>
  <si>
    <t>SALES</t>
  </si>
  <si>
    <t>Downpayment</t>
  </si>
  <si>
    <t>At delivery</t>
  </si>
  <si>
    <t>Installments</t>
  </si>
  <si>
    <t>Inflation index</t>
  </si>
  <si>
    <t>Total Collections ARS base</t>
  </si>
  <si>
    <t>Total Collections ARS nominal</t>
  </si>
  <si>
    <t>Inventory build-up ARS nominal</t>
  </si>
  <si>
    <t>Gross margin</t>
  </si>
  <si>
    <t>INVENTORY</t>
  </si>
  <si>
    <t>Gross Profit</t>
  </si>
  <si>
    <t>Ref: Gross Profit in USD</t>
  </si>
  <si>
    <t>Ref: Gross Profit in USD per sqm</t>
  </si>
  <si>
    <t>Variance vs Income Statement as per IFRS</t>
  </si>
  <si>
    <t>FINANCIAL STATEMENTS IN ARS NOMINAL (as per IFRS)</t>
  </si>
  <si>
    <t>Year 1</t>
  </si>
  <si>
    <t>Year 2</t>
  </si>
  <si>
    <t>Year 3</t>
  </si>
  <si>
    <t>Year 4</t>
  </si>
  <si>
    <t>Delivery &amp; Sale</t>
  </si>
  <si>
    <r>
      <t>Contracted sales USD</t>
    </r>
    <r>
      <rPr>
        <sz val="9"/>
        <color theme="1"/>
        <rFont val="Calibri"/>
        <family val="2"/>
        <scheme val="minor"/>
      </rPr>
      <t xml:space="preserve"> </t>
    </r>
    <r>
      <rPr>
        <b/>
        <sz val="9"/>
        <color theme="1"/>
        <rFont val="Calibri"/>
        <family val="2"/>
      </rPr>
      <t>(1)</t>
    </r>
  </si>
  <si>
    <r>
      <t xml:space="preserve">Price balance adjustment (construction cost index) </t>
    </r>
    <r>
      <rPr>
        <b/>
        <sz val="9"/>
        <color theme="1"/>
        <rFont val="Calibri"/>
        <family val="2"/>
      </rPr>
      <t>(2)</t>
    </r>
  </si>
  <si>
    <r>
      <t>Construction cost (Hard &amp; Soft costs)</t>
    </r>
    <r>
      <rPr>
        <b/>
        <sz val="9"/>
        <color theme="1"/>
        <rFont val="Calibri"/>
        <family val="2"/>
      </rPr>
      <t xml:space="preserve"> (3)</t>
    </r>
  </si>
  <si>
    <r>
      <t xml:space="preserve">Gross Profit </t>
    </r>
    <r>
      <rPr>
        <b/>
        <sz val="9"/>
        <color theme="1"/>
        <rFont val="Calibri"/>
        <family val="2"/>
      </rPr>
      <t>(4)</t>
    </r>
  </si>
  <si>
    <r>
      <t xml:space="preserve">Inventory </t>
    </r>
    <r>
      <rPr>
        <b/>
        <sz val="9"/>
        <color theme="1"/>
        <rFont val="Calibri"/>
        <family val="2"/>
      </rPr>
      <t>(5)</t>
    </r>
  </si>
  <si>
    <r>
      <t xml:space="preserve">Advances from clients </t>
    </r>
    <r>
      <rPr>
        <b/>
        <sz val="9"/>
        <color theme="1"/>
        <rFont val="Calibri"/>
        <family val="2"/>
      </rPr>
      <t>(6)</t>
    </r>
  </si>
  <si>
    <r>
      <t xml:space="preserve">INCOME STATEMENT IN USD (PRO FORMA) </t>
    </r>
    <r>
      <rPr>
        <b/>
        <sz val="9"/>
        <rFont val="Calibri"/>
        <family val="2"/>
      </rPr>
      <t>(7)</t>
    </r>
  </si>
  <si>
    <r>
      <t>INCOME STATEMENT IN ARS w/ INFLATION ADJUSTMENT (PRO FORMA)</t>
    </r>
    <r>
      <rPr>
        <b/>
        <sz val="9"/>
        <rFont val="Calibri"/>
        <family val="2"/>
      </rPr>
      <t xml:space="preserve"> (8)</t>
    </r>
  </si>
  <si>
    <t>SUP: Construction progress</t>
  </si>
  <si>
    <t>Residential project sample accounting | ILLUSTRATIVE FIGURES</t>
  </si>
  <si>
    <t>(1) Prices can be quoted either in USD (as in this analysis) or in ARS inflation-adjusted. Installments are subsequently converted to ARS and adjusted by construction cost (CAC index).</t>
  </si>
  <si>
    <t>(2) As indicated, price balance is adjusted on monthly basis by the construction cost index.</t>
  </si>
  <si>
    <t>(3) Construction costs are quoted in ARS and adjusted on monthly basis by construction cost index (CAC). USD figures are only shown as reference.</t>
  </si>
  <si>
    <t>(5) Inventory grows with construction, and goes down via COGS (when units are delivered).</t>
  </si>
  <si>
    <t>(6) Advances from clientes grow with collections (NOT contracted sales) and go down via Revenue (at delivery).</t>
  </si>
  <si>
    <t xml:space="preserve"> of the project, as inflation related to sales and construction timing would cease to be relevant.</t>
  </si>
  <si>
    <t>(8) Pro Forma Income Statement assuming inflation adjustment on Balance Sheet accounts. Same as in USD Income Statement, inflation adjustment would enable a more precise recognition</t>
  </si>
  <si>
    <t xml:space="preserve"> of a project's profitability.</t>
  </si>
  <si>
    <t>(7) Pro Forma Income Statement with USD as functional currency. If transactions were recorded in hard currency (in this case USD), Gross Profit at delivery would better reflect the actual profitability</t>
  </si>
  <si>
    <t>Contracted sales ARS</t>
  </si>
  <si>
    <t>Figures in ARS and USD, as indicated</t>
  </si>
  <si>
    <t>MAIN ASSUMPTIONS</t>
  </si>
  <si>
    <t>- IFRS norms allow for Revenue (and its corresponding COGS) only to be recognized when units are delivered to customers (i.e. transferring the custody of the unit to the</t>
  </si>
  <si>
    <t>customers. Signing of deed is not required for revenue recognition).</t>
  </si>
  <si>
    <t>- Accounting records are made in current AR Pesos, with no inflation adjustment whatsoever.</t>
  </si>
  <si>
    <t>adjusted by Construction Cost Index (CAC), which is the same index used to adjust construction contracts.</t>
  </si>
  <si>
    <t>- Company's accounting procedures are in full compliance with IFRS regulations.</t>
  </si>
  <si>
    <t>- During construction period, collections received from customers are recorded as a Liability (Advances from clients) in the Balance Sheet, while construction outflows</t>
  </si>
  <si>
    <t>are reflected as Inventory.</t>
  </si>
  <si>
    <t>- Typical sales contract collects 30% of total price at signing, 60% in installments during the construction period and remaining 10% at delivery. Price balance is monthly</t>
  </si>
  <si>
    <t>(4) As stated Gross Profit is only recognized once units are delivered to customers, i.e. transferring the custody of the unit to the customers (signing of deed is not required for revenue recognition).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</si>
</sst>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64" formatCode="_(* #,##0.00_);_(* \(#,##0.00\);_(* &quot;-&quot;??_);_(@_)"/>
    <numFmt numFmtId="165" formatCode="_(* #,##0.0_);_(* \(#,##0.0\);_(* &quot;-&quot;??_);_(@_)"/>
    <numFmt numFmtId="166" formatCode="_(* #,##0_);_(* \(#,##0\);_(* &quot;-&quot;??_);_(@_)"/>
    <numFmt numFmtId="167" formatCode="_(* #,##0.0_);_(* \(#,##0.0\);_(* &quot;-&quot;?_);_(@_)"/>
    <numFmt numFmtId="168" formatCode="0.0%"/>
    <numFmt numFmtId="169" formatCode="0.0"/>
    <numFmt numFmtId="170" formatCode="_-* #,##0.0_-;\-* #,##0.0_-;_-* &quot;-&quot;?_-;_-@_-"/>
    <numFmt numFmtId="171" formatCode="&quot;USD &quot;#,##0&quot;/m2&quot;"/>
    <numFmt numFmtId="172" formatCode="&quot;Sales &quot;0"/>
  </numFmts>
  <fonts count="22" x14ac:knownFonts="1">
    <font>
      <sz val="11"/>
      <color theme="1"/>
      <name val="Calibri"/>
      <family val="2"/>
      <scheme val="minor"/>
    </font>
    <font>
      <sz val="11"/>
      <color theme="1"/>
      <name val="Calibri"/>
      <family val="2"/>
      <scheme val="minor"/>
    </font>
    <font>
      <b/>
      <sz val="11"/>
      <color theme="1"/>
      <name val="Calibri"/>
      <family val="2"/>
      <scheme val="minor"/>
    </font>
    <font>
      <i/>
      <sz val="11"/>
      <color theme="1"/>
      <name val="Calibri"/>
      <family val="2"/>
      <scheme val="minor"/>
    </font>
    <font>
      <sz val="11"/>
      <name val="Calibri"/>
      <family val="2"/>
      <scheme val="minor"/>
    </font>
    <font>
      <b/>
      <sz val="15"/>
      <color theme="3"/>
      <name val="Calibri"/>
      <family val="2"/>
      <scheme val="minor"/>
    </font>
    <font>
      <b/>
      <sz val="11"/>
      <color theme="3"/>
      <name val="Calibri"/>
      <family val="2"/>
      <scheme val="minor"/>
    </font>
    <font>
      <b/>
      <sz val="11"/>
      <color theme="0"/>
      <name val="Calibri"/>
      <family val="2"/>
      <scheme val="minor"/>
    </font>
    <font>
      <b/>
      <sz val="12"/>
      <color theme="0" tint="-0.499984740745262"/>
      <name val="Calibri"/>
      <family val="2"/>
      <scheme val="minor"/>
    </font>
    <font>
      <sz val="10"/>
      <color theme="1"/>
      <name val="Calibri"/>
      <family val="2"/>
      <scheme val="minor"/>
    </font>
    <font>
      <b/>
      <sz val="10"/>
      <color theme="0" tint="-0.499984740745262"/>
      <name val="Calibri"/>
      <family val="2"/>
      <scheme val="minor"/>
    </font>
    <font>
      <sz val="11"/>
      <color rgb="FF0070C0"/>
      <name val="Calibri"/>
      <family val="2"/>
      <scheme val="minor"/>
    </font>
    <font>
      <b/>
      <sz val="10"/>
      <color theme="1"/>
      <name val="Calibri"/>
      <family val="2"/>
      <scheme val="minor"/>
    </font>
    <font>
      <b/>
      <i/>
      <sz val="11"/>
      <color theme="1"/>
      <name val="Calibri"/>
      <family val="2"/>
      <scheme val="minor"/>
    </font>
    <font>
      <sz val="9"/>
      <color theme="1"/>
      <name val="Calibri"/>
      <family val="2"/>
      <scheme val="minor"/>
    </font>
    <font>
      <sz val="10"/>
      <color theme="0" tint="-0.499984740745262"/>
      <name val="Calibri"/>
      <family val="2"/>
      <scheme val="minor"/>
    </font>
    <font>
      <b/>
      <sz val="11"/>
      <name val="Calibri"/>
      <family val="2"/>
      <scheme val="minor"/>
    </font>
    <font>
      <i/>
      <sz val="9"/>
      <color theme="1" tint="0.34998626667073579"/>
      <name val="Calibri"/>
      <family val="2"/>
      <scheme val="minor"/>
    </font>
    <font>
      <b/>
      <i/>
      <sz val="9"/>
      <color theme="1" tint="0.34998626667073579"/>
      <name val="Calibri"/>
      <family val="2"/>
      <scheme val="minor"/>
    </font>
    <font>
      <b/>
      <sz val="11"/>
      <color rgb="FF0070C0"/>
      <name val="Calibri"/>
      <family val="2"/>
      <scheme val="minor"/>
    </font>
    <font>
      <b/>
      <sz val="9"/>
      <color theme="1"/>
      <name val="Calibri"/>
      <family val="2"/>
    </font>
    <font>
      <b/>
      <sz val="9"/>
      <name val="Calibri"/>
      <family val="2"/>
    </font>
  </fonts>
  <fills count="6">
    <fill>
      <patternFill patternType="none"/>
    </fill>
    <fill>
      <patternFill patternType="gray125"/>
    </fill>
    <fill>
      <patternFill patternType="solid">
        <fgColor theme="0"/>
        <bgColor indexed="64"/>
      </patternFill>
    </fill>
    <fill>
      <patternFill patternType="solid">
        <fgColor theme="3" tint="-0.499984740745262"/>
        <bgColor indexed="64"/>
      </patternFill>
    </fill>
    <fill>
      <patternFill patternType="solid">
        <fgColor theme="0" tint="-0.14999847407452621"/>
        <bgColor indexed="64"/>
      </patternFill>
    </fill>
    <fill>
      <patternFill patternType="solid">
        <fgColor theme="4" tint="0.79998168889431442"/>
        <bgColor indexed="64"/>
      </patternFill>
    </fill>
  </fills>
  <borders count="5">
    <border>
      <left/>
      <right/>
      <top/>
      <bottom/>
      <diagonal/>
    </border>
    <border>
      <left/>
      <right/>
      <top style="thin">
        <color indexed="64"/>
      </top>
      <bottom/>
      <diagonal/>
    </border>
    <border>
      <left/>
      <right/>
      <top style="hair">
        <color auto="1"/>
      </top>
      <bottom/>
      <diagonal/>
    </border>
    <border>
      <left/>
      <right/>
      <top/>
      <bottom style="thin">
        <color auto="1"/>
      </bottom>
      <diagonal/>
    </border>
    <border>
      <left/>
      <right/>
      <top/>
      <bottom style="double">
        <color auto="1"/>
      </bottom>
      <diagonal/>
    </border>
  </borders>
  <cellStyleXfs count="3">
    <xf numFmtId="0" fontId="0" fillId="0" borderId="0"/>
    <xf numFmtId="164" fontId="1" fillId="0" borderId="0" applyFont="0" applyFill="0" applyBorder="0" applyAlignment="0" applyProtection="0"/>
    <xf numFmtId="9" fontId="1" fillId="0" borderId="0" applyFont="0" applyFill="0" applyBorder="0" applyAlignment="0" applyProtection="0"/>
  </cellStyleXfs>
  <cellXfs count="117">
    <xf numFmtId="0" fontId="0" fillId="0" borderId="0" xfId="0"/>
    <xf numFmtId="0" fontId="3" fillId="0" borderId="0" xfId="0" applyFont="1"/>
    <xf numFmtId="9" fontId="3" fillId="0" borderId="0" xfId="2" applyFont="1"/>
    <xf numFmtId="0" fontId="0" fillId="0" borderId="1" xfId="0" applyBorder="1"/>
    <xf numFmtId="0" fontId="0" fillId="0" borderId="0" xfId="0" applyBorder="1"/>
    <xf numFmtId="166" fontId="0" fillId="0" borderId="0" xfId="1" applyNumberFormat="1" applyFont="1"/>
    <xf numFmtId="166" fontId="0" fillId="0" borderId="1" xfId="1" applyNumberFormat="1" applyFont="1" applyBorder="1"/>
    <xf numFmtId="166" fontId="0" fillId="0" borderId="0" xfId="1" applyNumberFormat="1" applyFont="1" applyBorder="1"/>
    <xf numFmtId="9" fontId="0" fillId="0" borderId="0" xfId="2" applyFont="1"/>
    <xf numFmtId="166" fontId="4" fillId="0" borderId="0" xfId="1" applyNumberFormat="1" applyFont="1"/>
    <xf numFmtId="167" fontId="0" fillId="0" borderId="0" xfId="0" applyNumberFormat="1"/>
    <xf numFmtId="166" fontId="0" fillId="0" borderId="0" xfId="0" applyNumberFormat="1"/>
    <xf numFmtId="165" fontId="0" fillId="0" borderId="0" xfId="0" applyNumberFormat="1"/>
    <xf numFmtId="164" fontId="0" fillId="0" borderId="0" xfId="0" applyNumberFormat="1"/>
    <xf numFmtId="0" fontId="0" fillId="0" borderId="0" xfId="0" applyFont="1"/>
    <xf numFmtId="0" fontId="5" fillId="2" borderId="0" xfId="0" applyFont="1" applyFill="1" applyBorder="1" applyAlignment="1">
      <alignment vertical="center"/>
    </xf>
    <xf numFmtId="0" fontId="0" fillId="0" borderId="0" xfId="0" applyFill="1"/>
    <xf numFmtId="0" fontId="8" fillId="2" borderId="0" xfId="0" applyFont="1" applyFill="1" applyBorder="1" applyAlignment="1">
      <alignment vertical="center"/>
    </xf>
    <xf numFmtId="0" fontId="9" fillId="2" borderId="0" xfId="0" applyFont="1" applyFill="1" applyBorder="1" applyAlignment="1">
      <alignment vertical="center"/>
    </xf>
    <xf numFmtId="0" fontId="10" fillId="2" borderId="0" xfId="0" applyFont="1" applyFill="1" applyBorder="1" applyAlignment="1">
      <alignment vertical="center"/>
    </xf>
    <xf numFmtId="0" fontId="9" fillId="2" borderId="0" xfId="0" applyFont="1" applyFill="1" applyBorder="1" applyAlignment="1">
      <alignment horizontal="center" vertical="center"/>
    </xf>
    <xf numFmtId="0" fontId="9" fillId="0" borderId="0" xfId="0" applyFont="1" applyFill="1" applyBorder="1" applyAlignment="1">
      <alignment vertical="center"/>
    </xf>
    <xf numFmtId="0" fontId="2" fillId="0" borderId="0" xfId="0" applyFont="1" applyFill="1"/>
    <xf numFmtId="0" fontId="12" fillId="0" borderId="0" xfId="0" applyFont="1" applyFill="1" applyBorder="1" applyAlignment="1">
      <alignment vertical="center"/>
    </xf>
    <xf numFmtId="0" fontId="2" fillId="0" borderId="0" xfId="0" applyFont="1"/>
    <xf numFmtId="0" fontId="13" fillId="0" borderId="0" xfId="0" applyFont="1"/>
    <xf numFmtId="166" fontId="2" fillId="0" borderId="1" xfId="1" applyNumberFormat="1" applyFont="1" applyBorder="1"/>
    <xf numFmtId="166" fontId="2" fillId="0" borderId="0" xfId="1" applyNumberFormat="1" applyFont="1"/>
    <xf numFmtId="166" fontId="2" fillId="0" borderId="2" xfId="1" applyNumberFormat="1" applyFont="1" applyBorder="1"/>
    <xf numFmtId="166" fontId="2" fillId="0" borderId="0" xfId="1" applyNumberFormat="1" applyFont="1" applyBorder="1"/>
    <xf numFmtId="0" fontId="2" fillId="0" borderId="0" xfId="0" applyFont="1" applyBorder="1"/>
    <xf numFmtId="166" fontId="0" fillId="0" borderId="3" xfId="1" applyNumberFormat="1" applyFont="1" applyBorder="1"/>
    <xf numFmtId="165" fontId="2" fillId="0" borderId="0" xfId="1" applyNumberFormat="1" applyFont="1" applyBorder="1"/>
    <xf numFmtId="166" fontId="11" fillId="0" borderId="0" xfId="1" applyNumberFormat="1" applyFont="1" applyBorder="1"/>
    <xf numFmtId="0" fontId="0" fillId="0" borderId="0" xfId="0" applyBorder="1" applyAlignment="1">
      <alignment horizontal="left" indent="1"/>
    </xf>
    <xf numFmtId="0" fontId="0" fillId="0" borderId="0" xfId="0" applyAlignment="1">
      <alignment horizontal="left" indent="1"/>
    </xf>
    <xf numFmtId="0" fontId="2" fillId="0" borderId="1" xfId="0" applyFont="1" applyBorder="1" applyAlignment="1">
      <alignment horizontal="left" indent="1"/>
    </xf>
    <xf numFmtId="0" fontId="2" fillId="0" borderId="2" xfId="0" applyFont="1" applyBorder="1" applyAlignment="1">
      <alignment horizontal="left" indent="1"/>
    </xf>
    <xf numFmtId="0" fontId="0" fillId="0" borderId="2" xfId="0" applyBorder="1" applyAlignment="1">
      <alignment horizontal="left" indent="1"/>
    </xf>
    <xf numFmtId="0" fontId="3" fillId="0" borderId="0" xfId="0" applyFont="1" applyAlignment="1">
      <alignment horizontal="left" indent="1"/>
    </xf>
    <xf numFmtId="0" fontId="2" fillId="0" borderId="0" xfId="0" applyFont="1" applyBorder="1" applyAlignment="1">
      <alignment horizontal="left" indent="1"/>
    </xf>
    <xf numFmtId="166" fontId="4" fillId="0" borderId="0" xfId="1" applyNumberFormat="1" applyFont="1" applyBorder="1"/>
    <xf numFmtId="166" fontId="4" fillId="0" borderId="2" xfId="1" applyNumberFormat="1" applyFont="1" applyBorder="1"/>
    <xf numFmtId="0" fontId="5" fillId="2" borderId="0" xfId="0" applyFont="1" applyFill="1" applyBorder="1" applyAlignment="1">
      <alignment horizontal="center" vertical="center"/>
    </xf>
    <xf numFmtId="0" fontId="8" fillId="2" borderId="0" xfId="0" applyFont="1" applyFill="1" applyBorder="1" applyAlignment="1">
      <alignment horizontal="center" vertical="center"/>
    </xf>
    <xf numFmtId="0" fontId="10" fillId="2" borderId="0" xfId="0" applyFont="1" applyFill="1" applyBorder="1" applyAlignment="1">
      <alignment horizontal="center" vertical="center"/>
    </xf>
    <xf numFmtId="0" fontId="0" fillId="0" borderId="0" xfId="0" applyAlignment="1">
      <alignment horizontal="center"/>
    </xf>
    <xf numFmtId="0" fontId="6" fillId="0" borderId="3" xfId="0" applyFont="1" applyBorder="1" applyAlignment="1">
      <alignment horizontal="center"/>
    </xf>
    <xf numFmtId="0" fontId="0" fillId="0" borderId="1" xfId="0" applyBorder="1" applyAlignment="1">
      <alignment horizontal="center"/>
    </xf>
    <xf numFmtId="0" fontId="0" fillId="0" borderId="0" xfId="0" applyBorder="1" applyAlignment="1">
      <alignment horizontal="center"/>
    </xf>
    <xf numFmtId="0" fontId="3" fillId="0" borderId="0" xfId="0" applyFont="1" applyAlignment="1">
      <alignment horizontal="center"/>
    </xf>
    <xf numFmtId="0" fontId="0" fillId="0" borderId="2" xfId="0" applyBorder="1" applyAlignment="1">
      <alignment horizontal="center"/>
    </xf>
    <xf numFmtId="0" fontId="2" fillId="0" borderId="1" xfId="0" applyFont="1" applyBorder="1" applyAlignment="1">
      <alignment horizontal="center"/>
    </xf>
    <xf numFmtId="0" fontId="2" fillId="0" borderId="0" xfId="0" applyFont="1" applyBorder="1" applyAlignment="1">
      <alignment horizontal="center"/>
    </xf>
    <xf numFmtId="0" fontId="2" fillId="0" borderId="2" xfId="0" applyFont="1" applyBorder="1" applyAlignment="1">
      <alignment horizontal="center"/>
    </xf>
    <xf numFmtId="0" fontId="14" fillId="0" borderId="0" xfId="0" applyFont="1" applyAlignment="1">
      <alignment horizontal="left"/>
    </xf>
    <xf numFmtId="0" fontId="16" fillId="0" borderId="3" xfId="0" applyFont="1" applyBorder="1"/>
    <xf numFmtId="168" fontId="11" fillId="0" borderId="0" xfId="2" applyNumberFormat="1" applyFont="1"/>
    <xf numFmtId="0" fontId="15" fillId="0" borderId="0" xfId="0" applyFont="1" applyAlignment="1">
      <alignment horizontal="right" vertical="center" wrapText="1"/>
    </xf>
    <xf numFmtId="169" fontId="11" fillId="0" borderId="0" xfId="0" applyNumberFormat="1" applyFont="1"/>
    <xf numFmtId="169" fontId="11" fillId="0" borderId="0" xfId="1" applyNumberFormat="1" applyFont="1" applyBorder="1"/>
    <xf numFmtId="0" fontId="0" fillId="0" borderId="0" xfId="0" applyAlignment="1">
      <alignment horizontal="left"/>
    </xf>
    <xf numFmtId="0" fontId="0" fillId="0" borderId="0" xfId="0" applyAlignment="1">
      <alignment horizontal="right"/>
    </xf>
    <xf numFmtId="0" fontId="9" fillId="2" borderId="0" xfId="0" applyFont="1" applyFill="1" applyBorder="1" applyAlignment="1">
      <alignment horizontal="right" vertical="center"/>
    </xf>
    <xf numFmtId="166" fontId="0" fillId="0" borderId="3" xfId="1" applyNumberFormat="1" applyFont="1" applyBorder="1" applyAlignment="1">
      <alignment horizontal="right"/>
    </xf>
    <xf numFmtId="166" fontId="0" fillId="0" borderId="1" xfId="1" applyNumberFormat="1" applyFont="1" applyBorder="1" applyAlignment="1">
      <alignment horizontal="right"/>
    </xf>
    <xf numFmtId="166" fontId="11" fillId="0" borderId="0" xfId="1" applyNumberFormat="1" applyFont="1" applyBorder="1" applyAlignment="1">
      <alignment horizontal="right"/>
    </xf>
    <xf numFmtId="166" fontId="0" fillId="0" borderId="0" xfId="1" applyNumberFormat="1" applyFont="1" applyBorder="1" applyAlignment="1">
      <alignment horizontal="right"/>
    </xf>
    <xf numFmtId="166" fontId="4" fillId="0" borderId="0" xfId="1" applyNumberFormat="1" applyFont="1" applyBorder="1" applyAlignment="1">
      <alignment horizontal="right"/>
    </xf>
    <xf numFmtId="168" fontId="11" fillId="0" borderId="0" xfId="2" applyNumberFormat="1" applyFont="1" applyAlignment="1">
      <alignment horizontal="right"/>
    </xf>
    <xf numFmtId="168" fontId="4" fillId="0" borderId="0" xfId="2" applyNumberFormat="1" applyFont="1" applyAlignment="1">
      <alignment horizontal="right"/>
    </xf>
    <xf numFmtId="166" fontId="11" fillId="0" borderId="0" xfId="1" applyNumberFormat="1" applyFont="1" applyAlignment="1">
      <alignment horizontal="right"/>
    </xf>
    <xf numFmtId="171" fontId="11" fillId="0" borderId="0" xfId="1" applyNumberFormat="1" applyFont="1" applyAlignment="1">
      <alignment horizontal="right"/>
    </xf>
    <xf numFmtId="9" fontId="3" fillId="0" borderId="0" xfId="2" applyFont="1" applyAlignment="1">
      <alignment horizontal="right"/>
    </xf>
    <xf numFmtId="166" fontId="0" fillId="0" borderId="0" xfId="1" applyNumberFormat="1" applyFont="1" applyAlignment="1">
      <alignment horizontal="right"/>
    </xf>
    <xf numFmtId="166" fontId="2" fillId="0" borderId="1" xfId="1" applyNumberFormat="1" applyFont="1" applyBorder="1" applyAlignment="1">
      <alignment horizontal="right"/>
    </xf>
    <xf numFmtId="166" fontId="2" fillId="0" borderId="0" xfId="1" applyNumberFormat="1" applyFont="1" applyBorder="1" applyAlignment="1">
      <alignment horizontal="right"/>
    </xf>
    <xf numFmtId="166" fontId="2" fillId="0" borderId="2" xfId="1" applyNumberFormat="1" applyFont="1" applyBorder="1" applyAlignment="1">
      <alignment horizontal="right"/>
    </xf>
    <xf numFmtId="0" fontId="16" fillId="0" borderId="4" xfId="0" applyFont="1" applyBorder="1"/>
    <xf numFmtId="0" fontId="16" fillId="0" borderId="4" xfId="0" applyFont="1" applyBorder="1" applyAlignment="1">
      <alignment horizontal="center"/>
    </xf>
    <xf numFmtId="166" fontId="4" fillId="0" borderId="4" xfId="1" applyNumberFormat="1" applyFont="1" applyBorder="1" applyAlignment="1">
      <alignment horizontal="right"/>
    </xf>
    <xf numFmtId="166" fontId="4" fillId="0" borderId="4" xfId="1" applyNumberFormat="1" applyFont="1" applyBorder="1"/>
    <xf numFmtId="166" fontId="11" fillId="0" borderId="2" xfId="1" applyNumberFormat="1" applyFont="1" applyBorder="1" applyAlignment="1">
      <alignment horizontal="right"/>
    </xf>
    <xf numFmtId="0" fontId="0" fillId="0" borderId="2" xfId="0" applyBorder="1"/>
    <xf numFmtId="0" fontId="4" fillId="0" borderId="0" xfId="0" applyFont="1"/>
    <xf numFmtId="0" fontId="4" fillId="0" borderId="0" xfId="0" applyFont="1" applyAlignment="1">
      <alignment horizontal="center"/>
    </xf>
    <xf numFmtId="166" fontId="16" fillId="0" borderId="0" xfId="1" applyNumberFormat="1" applyFont="1"/>
    <xf numFmtId="166" fontId="4" fillId="0" borderId="0" xfId="0" applyNumberFormat="1" applyFont="1"/>
    <xf numFmtId="0" fontId="17" fillId="0" borderId="0" xfId="0" applyFont="1"/>
    <xf numFmtId="0" fontId="17" fillId="0" borderId="0" xfId="0" applyFont="1" applyAlignment="1">
      <alignment horizontal="center"/>
    </xf>
    <xf numFmtId="166" fontId="17" fillId="0" borderId="0" xfId="1" applyNumberFormat="1" applyFont="1" applyAlignment="1">
      <alignment horizontal="right"/>
    </xf>
    <xf numFmtId="166" fontId="17" fillId="0" borderId="0" xfId="1" applyNumberFormat="1" applyFont="1"/>
    <xf numFmtId="166" fontId="18" fillId="0" borderId="0" xfId="1" applyNumberFormat="1" applyFont="1"/>
    <xf numFmtId="166" fontId="17" fillId="0" borderId="0" xfId="0" applyNumberFormat="1" applyFont="1"/>
    <xf numFmtId="172" fontId="17" fillId="0" borderId="0" xfId="0" applyNumberFormat="1" applyFont="1" applyAlignment="1">
      <alignment horizontal="left" indent="2"/>
    </xf>
    <xf numFmtId="168" fontId="17" fillId="0" borderId="0" xfId="2" applyNumberFormat="1" applyFont="1"/>
    <xf numFmtId="166" fontId="19" fillId="0" borderId="2" xfId="1" applyNumberFormat="1" applyFont="1" applyBorder="1" applyAlignment="1">
      <alignment horizontal="right"/>
    </xf>
    <xf numFmtId="166" fontId="16" fillId="0" borderId="2" xfId="1" applyNumberFormat="1" applyFont="1" applyBorder="1"/>
    <xf numFmtId="168" fontId="2" fillId="0" borderId="0" xfId="2" applyNumberFormat="1" applyFont="1" applyBorder="1"/>
    <xf numFmtId="9" fontId="0" fillId="0" borderId="2" xfId="2" applyFont="1" applyBorder="1"/>
    <xf numFmtId="0" fontId="0" fillId="0" borderId="0" xfId="0" applyAlignment="1">
      <alignment vertical="center"/>
    </xf>
    <xf numFmtId="0" fontId="0" fillId="0" borderId="0" xfId="0" applyAlignment="1">
      <alignment horizontal="center" vertical="center"/>
    </xf>
    <xf numFmtId="0" fontId="0" fillId="0" borderId="0" xfId="0" applyAlignment="1">
      <alignment horizontal="right" vertical="center"/>
    </xf>
    <xf numFmtId="0" fontId="7" fillId="3" borderId="0" xfId="0" applyFont="1" applyFill="1" applyAlignment="1">
      <alignment horizontal="right" vertical="center"/>
    </xf>
    <xf numFmtId="166" fontId="16" fillId="0" borderId="2" xfId="1" applyNumberFormat="1" applyFont="1" applyBorder="1" applyAlignment="1">
      <alignment horizontal="right"/>
    </xf>
    <xf numFmtId="0" fontId="4" fillId="0" borderId="0" xfId="0" applyFont="1" applyAlignment="1">
      <alignment horizontal="left" indent="1"/>
    </xf>
    <xf numFmtId="0" fontId="0" fillId="0" borderId="0" xfId="0" applyAlignment="1">
      <alignment horizontal="left" indent="2"/>
    </xf>
    <xf numFmtId="169" fontId="4" fillId="0" borderId="0" xfId="0" applyNumberFormat="1" applyFont="1"/>
    <xf numFmtId="169" fontId="4" fillId="0" borderId="0" xfId="1" applyNumberFormat="1" applyFont="1" applyBorder="1"/>
    <xf numFmtId="0" fontId="13" fillId="4" borderId="0" xfId="0" applyFont="1" applyFill="1" applyBorder="1" applyAlignment="1">
      <alignment horizontal="left" indent="1"/>
    </xf>
    <xf numFmtId="0" fontId="13" fillId="4" borderId="0" xfId="0" applyFont="1" applyFill="1" applyBorder="1" applyAlignment="1">
      <alignment horizontal="center"/>
    </xf>
    <xf numFmtId="166" fontId="13" fillId="4" borderId="0" xfId="1" applyNumberFormat="1" applyFont="1" applyFill="1" applyBorder="1" applyAlignment="1">
      <alignment horizontal="right"/>
    </xf>
    <xf numFmtId="166" fontId="13" fillId="4" borderId="0" xfId="1" applyNumberFormat="1" applyFont="1" applyFill="1" applyBorder="1"/>
    <xf numFmtId="9" fontId="3" fillId="4" borderId="0" xfId="2" applyFont="1" applyFill="1" applyBorder="1"/>
    <xf numFmtId="168" fontId="13" fillId="4" borderId="0" xfId="2" applyNumberFormat="1" applyFont="1" applyFill="1" applyBorder="1"/>
    <xf numFmtId="170" fontId="0" fillId="5" borderId="0" xfId="0" applyNumberFormat="1" applyFill="1"/>
    <xf numFmtId="0" fontId="0" fillId="0" borderId="0" xfId="0" quotePrefix="1" applyFont="1" applyAlignment="1">
      <alignment horizontal="left"/>
    </xf>
  </cellXfs>
  <cellStyles count="3">
    <cellStyle name="Millares" xfId="1" builtinId="3"/>
    <cellStyle name="Normal" xfId="0" builtinId="0"/>
    <cellStyle name="Porcentaje" xfId="2" builtinId="5"/>
  </cellStyles>
  <dxfs count="2">
    <dxf>
      <font>
        <b/>
        <i val="0"/>
        <color theme="0"/>
      </font>
      <fill>
        <patternFill>
          <bgColor rgb="FFC00000"/>
        </patternFill>
      </fill>
    </dxf>
    <dxf>
      <font>
        <b/>
        <i val="0"/>
        <color theme="0"/>
      </font>
      <fill>
        <patternFill>
          <bgColor rgb="FFC0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pageSetUpPr fitToPage="1"/>
  </sheetPr>
  <dimension ref="A1:P128"/>
  <sheetViews>
    <sheetView showGridLines="0" tabSelected="1" zoomScale="92" zoomScaleNormal="92" workbookViewId="0">
      <pane ySplit="6" topLeftCell="A7" activePane="bottomLeft" state="frozen"/>
      <selection pane="bottomLeft" activeCell="B3" sqref="B3"/>
    </sheetView>
  </sheetViews>
  <sheetFormatPr baseColWidth="10" defaultRowHeight="15" outlineLevelRow="2" x14ac:dyDescent="0.25"/>
  <cols>
    <col min="1" max="1" width="3.7109375" customWidth="1"/>
    <col min="2" max="2" width="45.140625" customWidth="1"/>
    <col min="3" max="3" width="3.140625" style="46" customWidth="1"/>
    <col min="4" max="4" width="17.5703125" style="62" bestFit="1" customWidth="1"/>
    <col min="5" max="5" width="3.140625" style="46" customWidth="1"/>
    <col min="6" max="9" width="15.140625" customWidth="1"/>
    <col min="10" max="10" width="1" customWidth="1"/>
    <col min="11" max="11" width="15.140625" style="24" customWidth="1"/>
    <col min="12" max="12" width="1" customWidth="1"/>
    <col min="13" max="13" width="7" customWidth="1"/>
  </cols>
  <sheetData>
    <row r="1" spans="1:16" ht="9.75" customHeight="1" x14ac:dyDescent="0.25"/>
    <row r="2" spans="1:16" s="16" customFormat="1" ht="19.5" x14ac:dyDescent="0.25">
      <c r="A2" s="14"/>
      <c r="B2" s="15" t="s">
        <v>6</v>
      </c>
      <c r="C2" s="43"/>
      <c r="D2" s="62"/>
      <c r="E2" s="43"/>
      <c r="F2"/>
      <c r="K2" s="22"/>
    </row>
    <row r="3" spans="1:16" s="16" customFormat="1" ht="15.75" x14ac:dyDescent="0.25">
      <c r="A3" s="14"/>
      <c r="B3" s="17" t="s">
        <v>51</v>
      </c>
      <c r="C3" s="44"/>
      <c r="D3" s="62"/>
      <c r="E3" s="44"/>
      <c r="F3"/>
      <c r="K3" s="22"/>
    </row>
    <row r="4" spans="1:16" s="21" customFormat="1" ht="12.75" x14ac:dyDescent="0.25">
      <c r="A4" s="18"/>
      <c r="B4" s="19" t="s">
        <v>62</v>
      </c>
      <c r="C4" s="45"/>
      <c r="D4" s="63"/>
      <c r="E4" s="45"/>
      <c r="F4" s="20"/>
      <c r="K4" s="23"/>
    </row>
    <row r="5" spans="1:16" ht="9.75" customHeight="1" x14ac:dyDescent="0.25"/>
    <row r="6" spans="1:16" s="100" customFormat="1" ht="16.5" customHeight="1" x14ac:dyDescent="0.25">
      <c r="C6" s="101"/>
      <c r="D6" s="102"/>
      <c r="E6" s="101"/>
      <c r="F6" s="103" t="s">
        <v>37</v>
      </c>
      <c r="G6" s="103" t="s">
        <v>38</v>
      </c>
      <c r="H6" s="103" t="s">
        <v>39</v>
      </c>
      <c r="I6" s="103" t="s">
        <v>40</v>
      </c>
      <c r="K6" s="103" t="s">
        <v>8</v>
      </c>
    </row>
    <row r="7" spans="1:16" ht="25.5" x14ac:dyDescent="0.25">
      <c r="F7" s="58" t="s">
        <v>14</v>
      </c>
      <c r="G7" s="58" t="s">
        <v>15</v>
      </c>
      <c r="H7" s="58" t="s">
        <v>15</v>
      </c>
      <c r="I7" s="58" t="s">
        <v>41</v>
      </c>
    </row>
    <row r="8" spans="1:16" ht="7.5" customHeight="1" x14ac:dyDescent="0.25">
      <c r="B8" s="35"/>
      <c r="D8" s="67"/>
      <c r="F8" s="7"/>
      <c r="G8" s="7"/>
      <c r="H8" s="7"/>
      <c r="I8" s="7"/>
      <c r="J8" s="5"/>
      <c r="K8" s="29"/>
      <c r="L8" s="5"/>
      <c r="P8" s="11"/>
    </row>
    <row r="9" spans="1:16" x14ac:dyDescent="0.25">
      <c r="B9" s="56" t="s">
        <v>63</v>
      </c>
      <c r="C9" s="47"/>
      <c r="D9" s="64"/>
      <c r="E9" s="47"/>
      <c r="F9" s="31"/>
      <c r="G9" s="31"/>
      <c r="H9" s="31"/>
      <c r="I9" s="31"/>
      <c r="J9" s="31"/>
      <c r="K9" s="31"/>
      <c r="L9" s="5"/>
    </row>
    <row r="10" spans="1:16" ht="4.5" customHeight="1" x14ac:dyDescent="0.25">
      <c r="A10" s="4"/>
      <c r="B10" s="3"/>
      <c r="C10" s="48"/>
      <c r="D10" s="65"/>
      <c r="E10" s="48"/>
      <c r="F10" s="6"/>
      <c r="G10" s="6"/>
      <c r="H10" s="6"/>
      <c r="I10" s="6"/>
      <c r="J10" s="5"/>
      <c r="K10" s="26"/>
      <c r="L10" s="5"/>
      <c r="P10" s="11"/>
    </row>
    <row r="11" spans="1:16" x14ac:dyDescent="0.25">
      <c r="B11" s="116" t="s">
        <v>68</v>
      </c>
      <c r="D11" s="74"/>
      <c r="F11" s="5"/>
      <c r="G11" s="5"/>
      <c r="H11" s="5"/>
      <c r="I11" s="5"/>
      <c r="J11" s="5"/>
      <c r="K11" s="5"/>
      <c r="L11" s="5"/>
      <c r="P11" s="10"/>
    </row>
    <row r="12" spans="1:16" x14ac:dyDescent="0.25">
      <c r="B12" s="116" t="s">
        <v>66</v>
      </c>
      <c r="D12" s="74"/>
      <c r="F12" s="5"/>
      <c r="G12" s="5"/>
      <c r="H12" s="5"/>
      <c r="I12" s="5"/>
      <c r="J12" s="5"/>
      <c r="K12" s="5"/>
      <c r="L12" s="5"/>
      <c r="P12" s="10"/>
    </row>
    <row r="13" spans="1:16" x14ac:dyDescent="0.25">
      <c r="B13" s="116" t="s">
        <v>64</v>
      </c>
      <c r="D13" s="74"/>
      <c r="F13" s="5"/>
      <c r="G13" s="5"/>
      <c r="H13" s="5"/>
      <c r="I13" s="5"/>
      <c r="J13" s="5"/>
      <c r="K13" s="5"/>
      <c r="L13" s="5"/>
      <c r="P13" s="10"/>
    </row>
    <row r="14" spans="1:16" x14ac:dyDescent="0.25">
      <c r="B14" s="116" t="s">
        <v>65</v>
      </c>
      <c r="D14" s="74"/>
      <c r="F14" s="5"/>
      <c r="G14" s="5"/>
      <c r="H14" s="5"/>
      <c r="I14" s="5"/>
      <c r="J14" s="5"/>
      <c r="K14" s="5"/>
      <c r="L14" s="5"/>
      <c r="P14" s="10"/>
    </row>
    <row r="15" spans="1:16" x14ac:dyDescent="0.25">
      <c r="B15" s="116" t="s">
        <v>69</v>
      </c>
      <c r="D15" s="74"/>
      <c r="F15" s="5"/>
      <c r="G15" s="5"/>
      <c r="H15" s="5"/>
      <c r="I15" s="5"/>
      <c r="J15" s="5"/>
      <c r="K15" s="5"/>
      <c r="L15" s="5"/>
      <c r="P15" s="10"/>
    </row>
    <row r="16" spans="1:16" x14ac:dyDescent="0.25">
      <c r="B16" s="116" t="s">
        <v>70</v>
      </c>
      <c r="D16" s="74"/>
      <c r="F16" s="5"/>
      <c r="G16" s="5"/>
      <c r="H16" s="5"/>
      <c r="I16" s="5"/>
      <c r="J16" s="5"/>
      <c r="K16" s="5"/>
      <c r="L16" s="5"/>
      <c r="P16" s="10"/>
    </row>
    <row r="17" spans="1:16" x14ac:dyDescent="0.25">
      <c r="B17" s="116" t="s">
        <v>71</v>
      </c>
      <c r="D17" s="74"/>
      <c r="F17" s="5"/>
      <c r="G17" s="5"/>
      <c r="H17" s="5"/>
      <c r="I17" s="5"/>
      <c r="J17" s="5"/>
      <c r="K17" s="5"/>
      <c r="L17" s="5"/>
      <c r="P17" s="10"/>
    </row>
    <row r="18" spans="1:16" x14ac:dyDescent="0.25">
      <c r="B18" s="116" t="s">
        <v>67</v>
      </c>
      <c r="D18" s="74"/>
      <c r="F18" s="5"/>
      <c r="G18" s="5"/>
      <c r="H18" s="5"/>
      <c r="I18" s="5"/>
      <c r="J18" s="5"/>
      <c r="K18" s="5"/>
      <c r="L18" s="5"/>
      <c r="P18" s="10"/>
    </row>
    <row r="19" spans="1:16" ht="7.5" customHeight="1" x14ac:dyDescent="0.25">
      <c r="B19" s="35"/>
      <c r="D19" s="67"/>
      <c r="F19" s="7"/>
      <c r="G19" s="7"/>
      <c r="H19" s="7"/>
      <c r="I19" s="7"/>
      <c r="J19" s="5"/>
      <c r="K19" s="29"/>
      <c r="L19" s="5"/>
      <c r="P19" s="11"/>
    </row>
    <row r="20" spans="1:16" x14ac:dyDescent="0.25">
      <c r="B20" s="56" t="s">
        <v>18</v>
      </c>
      <c r="C20" s="47"/>
      <c r="D20" s="64"/>
      <c r="E20" s="47"/>
      <c r="F20" s="31"/>
      <c r="G20" s="31"/>
      <c r="H20" s="31"/>
      <c r="I20" s="31"/>
      <c r="J20" s="31"/>
      <c r="K20" s="31"/>
      <c r="L20" s="5"/>
    </row>
    <row r="21" spans="1:16" ht="4.5" customHeight="1" outlineLevel="1" x14ac:dyDescent="0.25">
      <c r="A21" s="4"/>
      <c r="B21" s="3"/>
      <c r="C21" s="48"/>
      <c r="D21" s="65"/>
      <c r="E21" s="48"/>
      <c r="F21" s="6"/>
      <c r="G21" s="6"/>
      <c r="H21" s="6"/>
      <c r="I21" s="6"/>
      <c r="J21" s="5"/>
      <c r="K21" s="26"/>
      <c r="L21" s="5"/>
      <c r="P21" s="11"/>
    </row>
    <row r="22" spans="1:16" outlineLevel="1" x14ac:dyDescent="0.25">
      <c r="B22" s="34" t="s">
        <v>19</v>
      </c>
      <c r="C22" s="49"/>
      <c r="D22" s="66"/>
      <c r="E22" s="49"/>
      <c r="F22" s="59">
        <v>19</v>
      </c>
      <c r="G22" s="60">
        <v>40</v>
      </c>
      <c r="H22" s="60">
        <v>48</v>
      </c>
      <c r="I22" s="60">
        <v>54.7</v>
      </c>
      <c r="K22" s="32"/>
      <c r="M22" s="59"/>
      <c r="N22" s="60"/>
      <c r="O22" s="60"/>
      <c r="P22" s="60"/>
    </row>
    <row r="23" spans="1:16" outlineLevel="1" x14ac:dyDescent="0.25">
      <c r="B23" s="34" t="s">
        <v>20</v>
      </c>
      <c r="C23" s="49"/>
      <c r="D23" s="66"/>
      <c r="E23" s="49"/>
      <c r="F23" s="57">
        <v>0.24168126094570908</v>
      </c>
      <c r="G23" s="57">
        <v>0.43439950342825129</v>
      </c>
      <c r="H23" s="57">
        <v>0.28000000000000003</v>
      </c>
      <c r="I23" s="57">
        <v>0.21</v>
      </c>
      <c r="K23" s="32"/>
      <c r="M23" s="57"/>
      <c r="N23" s="57"/>
      <c r="O23" s="57"/>
      <c r="P23" s="57"/>
    </row>
    <row r="24" spans="1:16" outlineLevel="1" x14ac:dyDescent="0.25">
      <c r="B24" s="34" t="s">
        <v>26</v>
      </c>
      <c r="C24" s="49"/>
      <c r="D24" s="66"/>
      <c r="E24" s="49"/>
      <c r="F24" s="107">
        <v>1</v>
      </c>
      <c r="G24" s="108">
        <f>+F24*(1+G23)</f>
        <v>1.4343995034282513</v>
      </c>
      <c r="H24" s="108">
        <f t="shared" ref="H24:I24" si="0">+G24*(1+H23)</f>
        <v>1.8360313643881616</v>
      </c>
      <c r="I24" s="108">
        <f t="shared" si="0"/>
        <v>2.2215979509096755</v>
      </c>
      <c r="K24" s="32"/>
      <c r="M24" s="59"/>
      <c r="N24" s="60"/>
      <c r="O24" s="60"/>
      <c r="P24" s="60"/>
    </row>
    <row r="25" spans="1:16" ht="7.5" customHeight="1" x14ac:dyDescent="0.25">
      <c r="B25" s="35"/>
      <c r="D25" s="67"/>
      <c r="F25" s="7"/>
      <c r="G25" s="7"/>
      <c r="H25" s="7"/>
      <c r="I25" s="7"/>
      <c r="J25" s="5"/>
      <c r="K25" s="29"/>
      <c r="L25" s="5"/>
      <c r="P25" s="11"/>
    </row>
    <row r="26" spans="1:16" x14ac:dyDescent="0.25">
      <c r="B26" s="56" t="s">
        <v>22</v>
      </c>
      <c r="C26" s="47"/>
      <c r="D26" s="64"/>
      <c r="E26" s="47"/>
      <c r="F26" s="31"/>
      <c r="G26" s="31"/>
      <c r="H26" s="31"/>
      <c r="I26" s="31"/>
      <c r="J26" s="31"/>
      <c r="K26" s="31"/>
      <c r="L26" s="5"/>
    </row>
    <row r="27" spans="1:16" ht="4.5" customHeight="1" outlineLevel="1" x14ac:dyDescent="0.25">
      <c r="A27" s="4"/>
      <c r="B27" s="3"/>
      <c r="C27" s="48"/>
      <c r="D27" s="65"/>
      <c r="E27" s="48"/>
      <c r="F27" s="6"/>
      <c r="G27" s="6"/>
      <c r="H27" s="6"/>
      <c r="I27" s="6"/>
      <c r="J27" s="5"/>
      <c r="K27" s="26"/>
      <c r="L27" s="5"/>
      <c r="P27" s="11"/>
    </row>
    <row r="28" spans="1:16" outlineLevel="1" x14ac:dyDescent="0.25">
      <c r="B28" s="34" t="s">
        <v>16</v>
      </c>
      <c r="C28" s="49"/>
      <c r="D28" s="66">
        <v>280</v>
      </c>
      <c r="E28" s="49"/>
      <c r="F28" s="33">
        <v>120</v>
      </c>
      <c r="G28" s="33">
        <v>65</v>
      </c>
      <c r="H28" s="33">
        <v>65</v>
      </c>
      <c r="I28" s="41">
        <f>+D28-SUM(F28:H28)</f>
        <v>30</v>
      </c>
      <c r="K28" s="29">
        <f>SUM(F28:I28)</f>
        <v>280</v>
      </c>
    </row>
    <row r="29" spans="1:16" outlineLevel="1" x14ac:dyDescent="0.25">
      <c r="B29" s="34" t="s">
        <v>17</v>
      </c>
      <c r="C29" s="49"/>
      <c r="D29" s="66">
        <v>20000</v>
      </c>
      <c r="E29" s="49"/>
      <c r="F29" s="41">
        <f>+$D$29/$D$28*F28</f>
        <v>8571.4285714285725</v>
      </c>
      <c r="G29" s="41">
        <f>+$D$29/$D$28*G28</f>
        <v>4642.8571428571431</v>
      </c>
      <c r="H29" s="41">
        <f>+$D$29/$D$28*H28</f>
        <v>4642.8571428571431</v>
      </c>
      <c r="I29" s="41">
        <f>+$D$29/$D$28*I28</f>
        <v>2142.8571428571431</v>
      </c>
      <c r="K29" s="29">
        <f>SUM(F29:I29)</f>
        <v>20000</v>
      </c>
    </row>
    <row r="30" spans="1:16" outlineLevel="1" x14ac:dyDescent="0.25">
      <c r="B30" s="34" t="s">
        <v>42</v>
      </c>
      <c r="C30" s="49"/>
      <c r="D30" s="72">
        <v>3200</v>
      </c>
      <c r="E30" s="49"/>
      <c r="F30" s="41">
        <f>+F29*$D$30</f>
        <v>27428571.428571433</v>
      </c>
      <c r="G30" s="41">
        <f>+G29*$D$30</f>
        <v>14857142.857142858</v>
      </c>
      <c r="H30" s="41">
        <f>+H29*$D$30</f>
        <v>14857142.857142858</v>
      </c>
      <c r="I30" s="41">
        <f>+I29*$D$30</f>
        <v>6857142.8571428582</v>
      </c>
      <c r="K30" s="29">
        <f>SUM(F30:I30)</f>
        <v>64000000.000000007</v>
      </c>
      <c r="M30" s="10"/>
    </row>
    <row r="31" spans="1:16" outlineLevel="1" x14ac:dyDescent="0.25">
      <c r="B31" s="34" t="s">
        <v>61</v>
      </c>
      <c r="C31" s="49"/>
      <c r="D31" s="68"/>
      <c r="E31" s="49"/>
      <c r="F31" s="41">
        <f>+F30*F22</f>
        <v>521142857.14285719</v>
      </c>
      <c r="G31" s="41">
        <f>+G30*G22</f>
        <v>594285714.28571439</v>
      </c>
      <c r="H31" s="41">
        <f>+H30*H22</f>
        <v>713142857.14285719</v>
      </c>
      <c r="I31" s="41">
        <f>+I30*I22</f>
        <v>375085714.28571439</v>
      </c>
      <c r="K31" s="29">
        <f>SUM(F31:I31)</f>
        <v>2203657142.8571434</v>
      </c>
    </row>
    <row r="32" spans="1:16" s="1" customFormat="1" outlineLevel="1" x14ac:dyDescent="0.25">
      <c r="B32" s="39" t="s">
        <v>12</v>
      </c>
      <c r="C32" s="50"/>
      <c r="D32" s="73"/>
      <c r="E32" s="50"/>
      <c r="F32" s="2">
        <f>+SUM($F30:F30)/$K$30</f>
        <v>0.4285714285714286</v>
      </c>
      <c r="G32" s="2">
        <f>+SUM($F30:G30)/$K$30</f>
        <v>0.6607142857142857</v>
      </c>
      <c r="H32" s="2">
        <f>+SUM($F30:H30)/$K$30</f>
        <v>0.8928571428571429</v>
      </c>
      <c r="I32" s="2">
        <f>+SUM($F30:I30)/$K$30</f>
        <v>1</v>
      </c>
      <c r="K32" s="25"/>
    </row>
    <row r="33" spans="1:16" ht="7.5" customHeight="1" x14ac:dyDescent="0.25">
      <c r="B33" s="35"/>
      <c r="D33" s="67"/>
      <c r="F33" s="7"/>
      <c r="G33" s="7"/>
      <c r="H33" s="7"/>
      <c r="I33" s="7"/>
      <c r="J33" s="5"/>
      <c r="K33" s="29"/>
      <c r="L33" s="5"/>
      <c r="P33" s="11"/>
    </row>
    <row r="34" spans="1:16" x14ac:dyDescent="0.25">
      <c r="B34" s="56" t="s">
        <v>21</v>
      </c>
      <c r="C34" s="47"/>
      <c r="D34" s="64"/>
      <c r="E34" s="47"/>
      <c r="F34" s="31"/>
      <c r="G34" s="31"/>
      <c r="H34" s="31"/>
      <c r="I34" s="31"/>
      <c r="J34" s="31"/>
      <c r="K34" s="31"/>
      <c r="L34" s="5"/>
    </row>
    <row r="35" spans="1:16" ht="4.5" customHeight="1" outlineLevel="1" x14ac:dyDescent="0.25">
      <c r="A35" s="4"/>
      <c r="B35" s="3"/>
      <c r="C35" s="48"/>
      <c r="D35" s="65"/>
      <c r="E35" s="48"/>
      <c r="F35" s="6"/>
      <c r="G35" s="6"/>
      <c r="H35" s="6"/>
      <c r="I35" s="6"/>
      <c r="J35" s="5"/>
      <c r="K35" s="26"/>
      <c r="L35" s="5"/>
      <c r="P35" s="11"/>
    </row>
    <row r="36" spans="1:16" s="84" customFormat="1" outlineLevel="1" collapsed="1" x14ac:dyDescent="0.25">
      <c r="B36" s="105" t="s">
        <v>23</v>
      </c>
      <c r="C36" s="85"/>
      <c r="D36" s="69">
        <v>0.3</v>
      </c>
      <c r="E36" s="85"/>
      <c r="F36" s="9">
        <f>+SUBTOTAL(9,F37:F40)</f>
        <v>156342857.14285716</v>
      </c>
      <c r="G36" s="9">
        <f t="shared" ref="G36:K36" si="1">+SUBTOTAL(9,G37:G40)</f>
        <v>178285714.2857143</v>
      </c>
      <c r="H36" s="9">
        <f t="shared" si="1"/>
        <v>213942857.14285716</v>
      </c>
      <c r="I36" s="9">
        <f t="shared" si="1"/>
        <v>112525714.28571431</v>
      </c>
      <c r="K36" s="86">
        <f t="shared" si="1"/>
        <v>661097142.85714293</v>
      </c>
      <c r="M36" s="87"/>
    </row>
    <row r="37" spans="1:16" s="88" customFormat="1" ht="12" hidden="1" outlineLevel="2" x14ac:dyDescent="0.2">
      <c r="B37" s="94" t="str">
        <f>+$F$6</f>
        <v>Year 1</v>
      </c>
      <c r="C37" s="89"/>
      <c r="D37" s="90"/>
      <c r="E37" s="89"/>
      <c r="F37" s="91">
        <f>+F$31*$D$36</f>
        <v>156342857.14285716</v>
      </c>
      <c r="G37" s="91"/>
      <c r="H37" s="91"/>
      <c r="I37" s="91"/>
      <c r="K37" s="92">
        <f>+SUM(F37:I37)</f>
        <v>156342857.14285716</v>
      </c>
      <c r="M37" s="93"/>
    </row>
    <row r="38" spans="1:16" s="88" customFormat="1" ht="12" hidden="1" outlineLevel="2" x14ac:dyDescent="0.2">
      <c r="B38" s="94" t="str">
        <f>+$G$6</f>
        <v>Year 2</v>
      </c>
      <c r="C38" s="89"/>
      <c r="D38" s="90"/>
      <c r="E38" s="89"/>
      <c r="F38" s="91"/>
      <c r="G38" s="91">
        <f>+G$31*$D$36</f>
        <v>178285714.2857143</v>
      </c>
      <c r="H38" s="91"/>
      <c r="I38" s="91"/>
      <c r="K38" s="92">
        <f t="shared" ref="K38:K40" si="2">+SUM(F38:I38)</f>
        <v>178285714.2857143</v>
      </c>
      <c r="M38" s="93"/>
    </row>
    <row r="39" spans="1:16" s="88" customFormat="1" ht="12" hidden="1" outlineLevel="2" x14ac:dyDescent="0.2">
      <c r="B39" s="94" t="str">
        <f>+$H$6</f>
        <v>Year 3</v>
      </c>
      <c r="C39" s="89"/>
      <c r="D39" s="90"/>
      <c r="E39" s="89"/>
      <c r="F39" s="91"/>
      <c r="G39" s="91"/>
      <c r="H39" s="91">
        <f>+H$31*$D$36</f>
        <v>213942857.14285716</v>
      </c>
      <c r="I39" s="91"/>
      <c r="K39" s="92">
        <f t="shared" si="2"/>
        <v>213942857.14285716</v>
      </c>
      <c r="M39" s="93"/>
    </row>
    <row r="40" spans="1:16" s="88" customFormat="1" ht="12" hidden="1" outlineLevel="2" x14ac:dyDescent="0.2">
      <c r="B40" s="94" t="str">
        <f>+$I$6</f>
        <v>Year 4</v>
      </c>
      <c r="C40" s="89"/>
      <c r="D40" s="90"/>
      <c r="E40" s="89"/>
      <c r="F40" s="91"/>
      <c r="G40" s="91"/>
      <c r="H40" s="91"/>
      <c r="I40" s="91">
        <f>+I$31*$D$36</f>
        <v>112525714.28571431</v>
      </c>
      <c r="K40" s="92">
        <f t="shared" si="2"/>
        <v>112525714.28571431</v>
      </c>
      <c r="M40" s="93"/>
    </row>
    <row r="41" spans="1:16" s="84" customFormat="1" outlineLevel="1" collapsed="1" x14ac:dyDescent="0.25">
      <c r="B41" s="105" t="s">
        <v>25</v>
      </c>
      <c r="C41" s="85"/>
      <c r="D41" s="69">
        <v>0.6</v>
      </c>
      <c r="E41" s="85"/>
      <c r="F41" s="9">
        <f>+SUBTOTAL(9,F42:F45)</f>
        <v>104228571.42857145</v>
      </c>
      <c r="G41" s="9">
        <f t="shared" ref="G41:I41" si="3">+SUBTOTAL(9,G42:G45)</f>
        <v>282514285.71428573</v>
      </c>
      <c r="H41" s="9">
        <f t="shared" si="3"/>
        <v>710400000</v>
      </c>
      <c r="I41" s="9">
        <f t="shared" si="3"/>
        <v>225051428.57142863</v>
      </c>
      <c r="K41" s="86">
        <f t="shared" ref="K41" si="4">+SUBTOTAL(9,K42:K45)</f>
        <v>1322194285.7142859</v>
      </c>
      <c r="M41" s="87"/>
    </row>
    <row r="42" spans="1:16" s="88" customFormat="1" ht="12" hidden="1" outlineLevel="2" x14ac:dyDescent="0.2">
      <c r="B42" s="94" t="str">
        <f>+$F$6</f>
        <v>Year 1</v>
      </c>
      <c r="C42" s="89"/>
      <c r="D42" s="90"/>
      <c r="E42" s="89"/>
      <c r="F42" s="91">
        <f>+$F$31*$D$41/3</f>
        <v>104228571.42857145</v>
      </c>
      <c r="G42" s="91">
        <f>+$F$31*$D$41/3</f>
        <v>104228571.42857145</v>
      </c>
      <c r="H42" s="91">
        <f>+$F$31*$D$41/3</f>
        <v>104228571.42857145</v>
      </c>
      <c r="I42" s="91"/>
      <c r="K42" s="92">
        <f>+SUM(F42:I42)</f>
        <v>312685714.28571433</v>
      </c>
      <c r="M42" s="93"/>
    </row>
    <row r="43" spans="1:16" s="88" customFormat="1" ht="12" hidden="1" outlineLevel="2" x14ac:dyDescent="0.2">
      <c r="B43" s="94" t="str">
        <f>+$G$6</f>
        <v>Year 2</v>
      </c>
      <c r="C43" s="89"/>
      <c r="D43" s="90"/>
      <c r="E43" s="89"/>
      <c r="F43" s="91"/>
      <c r="G43" s="91">
        <f>+$G$31*$D$41/2</f>
        <v>178285714.2857143</v>
      </c>
      <c r="H43" s="91">
        <f>+$G$31*$D$41/2</f>
        <v>178285714.2857143</v>
      </c>
      <c r="I43" s="91"/>
      <c r="K43" s="92">
        <f t="shared" ref="K43:K45" si="5">+SUM(F43:I43)</f>
        <v>356571428.5714286</v>
      </c>
      <c r="M43" s="93"/>
    </row>
    <row r="44" spans="1:16" s="88" customFormat="1" ht="12" hidden="1" outlineLevel="2" x14ac:dyDescent="0.2">
      <c r="B44" s="94" t="str">
        <f>+$H$6</f>
        <v>Year 3</v>
      </c>
      <c r="C44" s="89"/>
      <c r="D44" s="90"/>
      <c r="E44" s="89"/>
      <c r="F44" s="91"/>
      <c r="G44" s="91"/>
      <c r="H44" s="91">
        <f>+H$31*$D$41</f>
        <v>427885714.28571433</v>
      </c>
      <c r="I44" s="91"/>
      <c r="K44" s="92">
        <f t="shared" si="5"/>
        <v>427885714.28571433</v>
      </c>
      <c r="M44" s="93"/>
    </row>
    <row r="45" spans="1:16" s="88" customFormat="1" ht="12" hidden="1" outlineLevel="2" x14ac:dyDescent="0.2">
      <c r="B45" s="94" t="str">
        <f>+$I$6</f>
        <v>Year 4</v>
      </c>
      <c r="C45" s="89"/>
      <c r="D45" s="90"/>
      <c r="E45" s="89"/>
      <c r="F45" s="91"/>
      <c r="G45" s="91"/>
      <c r="H45" s="91"/>
      <c r="I45" s="91">
        <f>+I$31*$D$41</f>
        <v>225051428.57142863</v>
      </c>
      <c r="K45" s="92">
        <f t="shared" si="5"/>
        <v>225051428.57142863</v>
      </c>
      <c r="M45" s="93"/>
    </row>
    <row r="46" spans="1:16" s="84" customFormat="1" outlineLevel="1" collapsed="1" x14ac:dyDescent="0.25">
      <c r="B46" s="105" t="s">
        <v>24</v>
      </c>
      <c r="C46" s="85"/>
      <c r="D46" s="70">
        <f>100%-SUM(D36,D41)</f>
        <v>0.10000000000000009</v>
      </c>
      <c r="E46" s="85"/>
      <c r="F46" s="9">
        <f>+SUBTOTAL(9,F47:F50)</f>
        <v>0</v>
      </c>
      <c r="G46" s="9">
        <f t="shared" ref="G46:I46" si="6">+SUBTOTAL(9,G47:G50)</f>
        <v>0</v>
      </c>
      <c r="H46" s="9">
        <f t="shared" si="6"/>
        <v>0</v>
      </c>
      <c r="I46" s="9">
        <f t="shared" si="6"/>
        <v>220365714.28571451</v>
      </c>
      <c r="K46" s="86">
        <f t="shared" ref="K46" si="7">+SUBTOTAL(9,K47:K50)</f>
        <v>220365714.28571451</v>
      </c>
      <c r="M46" s="87"/>
    </row>
    <row r="47" spans="1:16" s="88" customFormat="1" ht="12" hidden="1" outlineLevel="2" x14ac:dyDescent="0.2">
      <c r="B47" s="94" t="str">
        <f>+$F$6</f>
        <v>Year 1</v>
      </c>
      <c r="C47" s="89"/>
      <c r="D47" s="90"/>
      <c r="E47" s="89"/>
      <c r="F47" s="91"/>
      <c r="G47" s="91"/>
      <c r="H47" s="91"/>
      <c r="I47" s="91">
        <f>+$F$31*$D$46</f>
        <v>52114285.714285769</v>
      </c>
      <c r="K47" s="92">
        <f>+SUM(F47:I47)</f>
        <v>52114285.714285769</v>
      </c>
      <c r="M47" s="93"/>
    </row>
    <row r="48" spans="1:16" s="88" customFormat="1" ht="12" hidden="1" outlineLevel="2" x14ac:dyDescent="0.2">
      <c r="B48" s="94" t="str">
        <f>+$G$6</f>
        <v>Year 2</v>
      </c>
      <c r="C48" s="89"/>
      <c r="D48" s="90"/>
      <c r="E48" s="89"/>
      <c r="F48" s="91"/>
      <c r="G48" s="91"/>
      <c r="H48" s="91"/>
      <c r="I48" s="91">
        <f>+$G$31*$D$46</f>
        <v>59428571.428571492</v>
      </c>
      <c r="K48" s="92">
        <f t="shared" ref="K48:K50" si="8">+SUM(F48:I48)</f>
        <v>59428571.428571492</v>
      </c>
      <c r="M48" s="93"/>
    </row>
    <row r="49" spans="1:16" s="88" customFormat="1" ht="12" hidden="1" outlineLevel="2" x14ac:dyDescent="0.2">
      <c r="B49" s="94" t="str">
        <f>+$H$6</f>
        <v>Year 3</v>
      </c>
      <c r="C49" s="89"/>
      <c r="D49" s="90"/>
      <c r="E49" s="89"/>
      <c r="F49" s="91"/>
      <c r="G49" s="91"/>
      <c r="H49" s="91"/>
      <c r="I49" s="91">
        <f>+$H$31*$D$46</f>
        <v>71314285.714285776</v>
      </c>
      <c r="K49" s="92">
        <f t="shared" si="8"/>
        <v>71314285.714285776</v>
      </c>
      <c r="M49" s="93"/>
    </row>
    <row r="50" spans="1:16" s="88" customFormat="1" ht="12" hidden="1" outlineLevel="2" x14ac:dyDescent="0.2">
      <c r="B50" s="94" t="str">
        <f>+$I$6</f>
        <v>Year 4</v>
      </c>
      <c r="C50" s="89"/>
      <c r="D50" s="90"/>
      <c r="E50" s="89"/>
      <c r="F50" s="91"/>
      <c r="G50" s="91"/>
      <c r="H50" s="91"/>
      <c r="I50" s="91">
        <f>+$I$31*$D$46</f>
        <v>37508571.42857147</v>
      </c>
      <c r="K50" s="92">
        <f t="shared" si="8"/>
        <v>37508571.42857147</v>
      </c>
      <c r="M50" s="93"/>
    </row>
    <row r="51" spans="1:16" outlineLevel="1" collapsed="1" x14ac:dyDescent="0.25">
      <c r="B51" s="38" t="s">
        <v>27</v>
      </c>
      <c r="C51" s="51"/>
      <c r="D51" s="82"/>
      <c r="E51" s="51"/>
      <c r="F51" s="42">
        <f>+SUBTOTAL(9,F36:F50)</f>
        <v>260571428.5714286</v>
      </c>
      <c r="G51" s="42">
        <f t="shared" ref="G51:K51" si="9">+SUBTOTAL(9,G36:G50)</f>
        <v>460800000</v>
      </c>
      <c r="H51" s="42">
        <f t="shared" si="9"/>
        <v>924342857.14285731</v>
      </c>
      <c r="I51" s="42">
        <f t="shared" si="9"/>
        <v>557942857.14285755</v>
      </c>
      <c r="J51" s="83"/>
      <c r="K51" s="28">
        <f t="shared" si="9"/>
        <v>2203657142.8571434</v>
      </c>
      <c r="M51" s="11"/>
    </row>
    <row r="52" spans="1:16" s="88" customFormat="1" ht="12" hidden="1" outlineLevel="2" x14ac:dyDescent="0.2">
      <c r="B52" s="94" t="str">
        <f>+$F$6</f>
        <v>Year 1</v>
      </c>
      <c r="C52" s="89"/>
      <c r="D52" s="90"/>
      <c r="E52" s="89"/>
      <c r="F52" s="91">
        <f>+SUMPRODUCT((F$37:F$50)*($B$37:$B$50=$B52))</f>
        <v>260571428.5714286</v>
      </c>
      <c r="G52" s="91">
        <f t="shared" ref="G52:I55" si="10">+SUMPRODUCT((G$37:G$50)*($B$37:$B$50=$B52))</f>
        <v>104228571.42857145</v>
      </c>
      <c r="H52" s="91">
        <f t="shared" si="10"/>
        <v>104228571.42857145</v>
      </c>
      <c r="I52" s="91">
        <f t="shared" si="10"/>
        <v>52114285.714285769</v>
      </c>
      <c r="K52" s="92">
        <f>+SUM(F52:I52)</f>
        <v>521142857.14285731</v>
      </c>
      <c r="M52" s="93"/>
    </row>
    <row r="53" spans="1:16" s="88" customFormat="1" ht="12" hidden="1" outlineLevel="2" x14ac:dyDescent="0.2">
      <c r="B53" s="94" t="str">
        <f>+$G$6</f>
        <v>Year 2</v>
      </c>
      <c r="C53" s="89"/>
      <c r="D53" s="90"/>
      <c r="E53" s="89"/>
      <c r="F53" s="91">
        <f t="shared" ref="F53:F55" si="11">+SUMPRODUCT((F$37:F$50)*($B$37:$B$50=$B53))</f>
        <v>0</v>
      </c>
      <c r="G53" s="91">
        <f t="shared" si="10"/>
        <v>356571428.5714286</v>
      </c>
      <c r="H53" s="91">
        <f t="shared" si="10"/>
        <v>178285714.2857143</v>
      </c>
      <c r="I53" s="91">
        <f t="shared" si="10"/>
        <v>59428571.428571492</v>
      </c>
      <c r="K53" s="92">
        <f t="shared" ref="K53:K55" si="12">+SUM(F53:I53)</f>
        <v>594285714.28571439</v>
      </c>
      <c r="M53" s="93"/>
    </row>
    <row r="54" spans="1:16" s="88" customFormat="1" ht="12" hidden="1" outlineLevel="2" x14ac:dyDescent="0.2">
      <c r="B54" s="94" t="str">
        <f>+$H$6</f>
        <v>Year 3</v>
      </c>
      <c r="C54" s="89"/>
      <c r="D54" s="90"/>
      <c r="E54" s="89"/>
      <c r="F54" s="91">
        <f t="shared" si="11"/>
        <v>0</v>
      </c>
      <c r="G54" s="91">
        <f t="shared" si="10"/>
        <v>0</v>
      </c>
      <c r="H54" s="91">
        <f t="shared" si="10"/>
        <v>641828571.42857146</v>
      </c>
      <c r="I54" s="91">
        <f t="shared" si="10"/>
        <v>71314285.714285776</v>
      </c>
      <c r="K54" s="92">
        <f t="shared" si="12"/>
        <v>713142857.14285719</v>
      </c>
      <c r="M54" s="93"/>
    </row>
    <row r="55" spans="1:16" s="88" customFormat="1" ht="12" hidden="1" outlineLevel="2" x14ac:dyDescent="0.2">
      <c r="B55" s="94" t="str">
        <f>+$I$6</f>
        <v>Year 4</v>
      </c>
      <c r="C55" s="89"/>
      <c r="D55" s="90"/>
      <c r="E55" s="89"/>
      <c r="F55" s="91">
        <f t="shared" si="11"/>
        <v>0</v>
      </c>
      <c r="G55" s="91">
        <f t="shared" si="10"/>
        <v>0</v>
      </c>
      <c r="H55" s="91">
        <f t="shared" si="10"/>
        <v>0</v>
      </c>
      <c r="I55" s="91">
        <f t="shared" si="10"/>
        <v>375085714.28571439</v>
      </c>
      <c r="K55" s="92">
        <f t="shared" si="12"/>
        <v>375085714.28571439</v>
      </c>
      <c r="M55" s="93"/>
    </row>
    <row r="56" spans="1:16" outlineLevel="1" x14ac:dyDescent="0.25">
      <c r="B56" s="35" t="s">
        <v>43</v>
      </c>
      <c r="D56" s="71"/>
      <c r="F56" s="9">
        <f>+SUBTOTAL(9,F57:F60)</f>
        <v>0</v>
      </c>
      <c r="G56" s="9">
        <f t="shared" ref="G56:I56" si="13">+SUBTOTAL(9,G57:G60)</f>
        <v>45276839.671607457</v>
      </c>
      <c r="H56" s="9">
        <f t="shared" si="13"/>
        <v>137058354.77965754</v>
      </c>
      <c r="I56" s="9">
        <f t="shared" si="13"/>
        <v>111253104.64169292</v>
      </c>
      <c r="J56" s="84"/>
      <c r="K56" s="86">
        <f t="shared" ref="K56" si="14">+SUBTOTAL(9,K57:K60)</f>
        <v>293588299.09295791</v>
      </c>
      <c r="M56" s="11"/>
    </row>
    <row r="57" spans="1:16" s="88" customFormat="1" ht="12" outlineLevel="2" x14ac:dyDescent="0.2">
      <c r="B57" s="94" t="str">
        <f>+$F$6</f>
        <v>Year 1</v>
      </c>
      <c r="C57" s="89"/>
      <c r="D57" s="90"/>
      <c r="E57" s="89"/>
      <c r="F57" s="91">
        <f t="shared" ref="F57:I60" si="15">+SUMPRODUCT((F$37:F$50)*($B$37:$B$50=$B57))*(F$24/SUMPRODUCT(($F$24:$I$24)*($F$6:$I$6=$B57))-1)</f>
        <v>0</v>
      </c>
      <c r="G57" s="91">
        <f t="shared" si="15"/>
        <v>45276839.671607457</v>
      </c>
      <c r="H57" s="91">
        <f t="shared" si="15"/>
        <v>87138354.779657543</v>
      </c>
      <c r="I57" s="91">
        <f t="shared" si="15"/>
        <v>63662704.641692869</v>
      </c>
      <c r="K57" s="92">
        <f>+SUM(F57:I57)</f>
        <v>196077899.09295788</v>
      </c>
      <c r="M57" s="95"/>
    </row>
    <row r="58" spans="1:16" s="88" customFormat="1" ht="12" outlineLevel="2" x14ac:dyDescent="0.2">
      <c r="B58" s="94" t="str">
        <f>+$G$6</f>
        <v>Year 2</v>
      </c>
      <c r="C58" s="89"/>
      <c r="D58" s="90"/>
      <c r="E58" s="89"/>
      <c r="F58" s="91">
        <f t="shared" si="15"/>
        <v>0</v>
      </c>
      <c r="G58" s="91">
        <f t="shared" si="15"/>
        <v>0</v>
      </c>
      <c r="H58" s="91">
        <f t="shared" si="15"/>
        <v>49920000.000000007</v>
      </c>
      <c r="I58" s="91">
        <f t="shared" si="15"/>
        <v>32614400.000000034</v>
      </c>
      <c r="K58" s="92">
        <f t="shared" ref="K58:K60" si="16">+SUM(F58:I58)</f>
        <v>82534400.000000045</v>
      </c>
      <c r="M58" s="95"/>
    </row>
    <row r="59" spans="1:16" s="88" customFormat="1" ht="12" outlineLevel="2" x14ac:dyDescent="0.2">
      <c r="B59" s="94" t="str">
        <f>+$H$6</f>
        <v>Year 3</v>
      </c>
      <c r="C59" s="89"/>
      <c r="D59" s="90"/>
      <c r="E59" s="89"/>
      <c r="F59" s="91">
        <f t="shared" si="15"/>
        <v>0</v>
      </c>
      <c r="G59" s="91">
        <f t="shared" si="15"/>
        <v>0</v>
      </c>
      <c r="H59" s="91">
        <f t="shared" si="15"/>
        <v>0</v>
      </c>
      <c r="I59" s="91">
        <f t="shared" si="15"/>
        <v>14976000.000000011</v>
      </c>
      <c r="K59" s="92">
        <f t="shared" si="16"/>
        <v>14976000.000000011</v>
      </c>
      <c r="M59" s="95"/>
    </row>
    <row r="60" spans="1:16" s="88" customFormat="1" ht="12" outlineLevel="2" x14ac:dyDescent="0.2">
      <c r="B60" s="94" t="str">
        <f>+$I$6</f>
        <v>Year 4</v>
      </c>
      <c r="C60" s="89"/>
      <c r="D60" s="90"/>
      <c r="E60" s="89"/>
      <c r="F60" s="91">
        <f t="shared" si="15"/>
        <v>0</v>
      </c>
      <c r="G60" s="91">
        <f t="shared" si="15"/>
        <v>0</v>
      </c>
      <c r="H60" s="91">
        <f t="shared" si="15"/>
        <v>0</v>
      </c>
      <c r="I60" s="91">
        <f t="shared" si="15"/>
        <v>0</v>
      </c>
      <c r="K60" s="92">
        <f t="shared" si="16"/>
        <v>0</v>
      </c>
      <c r="M60" s="95"/>
    </row>
    <row r="61" spans="1:16" outlineLevel="1" collapsed="1" x14ac:dyDescent="0.25">
      <c r="B61" s="37" t="s">
        <v>28</v>
      </c>
      <c r="C61" s="54"/>
      <c r="D61" s="96"/>
      <c r="E61" s="54"/>
      <c r="F61" s="97">
        <f>+F51+F56</f>
        <v>260571428.5714286</v>
      </c>
      <c r="G61" s="97">
        <f t="shared" ref="G61:K61" si="17">+G51+G56</f>
        <v>506076839.67160743</v>
      </c>
      <c r="H61" s="97">
        <f t="shared" si="17"/>
        <v>1061401211.9225149</v>
      </c>
      <c r="I61" s="97">
        <f t="shared" si="17"/>
        <v>669195961.78455043</v>
      </c>
      <c r="J61" s="97"/>
      <c r="K61" s="97">
        <f t="shared" si="17"/>
        <v>2497245441.9501014</v>
      </c>
      <c r="M61" s="11"/>
    </row>
    <row r="62" spans="1:16" ht="7.5" customHeight="1" x14ac:dyDescent="0.25">
      <c r="B62" s="35"/>
      <c r="D62" s="67"/>
      <c r="F62" s="7"/>
      <c r="G62" s="7"/>
      <c r="H62" s="7"/>
      <c r="I62" s="7"/>
      <c r="J62" s="5"/>
      <c r="K62" s="29"/>
      <c r="L62" s="5"/>
      <c r="P62" s="11"/>
    </row>
    <row r="63" spans="1:16" x14ac:dyDescent="0.25">
      <c r="B63" s="56" t="s">
        <v>31</v>
      </c>
      <c r="C63" s="47"/>
      <c r="D63" s="64"/>
      <c r="E63" s="47"/>
      <c r="F63" s="31"/>
      <c r="G63" s="31"/>
      <c r="H63" s="31"/>
      <c r="I63" s="31"/>
      <c r="J63" s="31"/>
      <c r="K63" s="31"/>
      <c r="L63" s="5"/>
    </row>
    <row r="64" spans="1:16" ht="4.5" customHeight="1" outlineLevel="1" x14ac:dyDescent="0.25">
      <c r="A64" s="4"/>
      <c r="B64" s="3"/>
      <c r="C64" s="48"/>
      <c r="D64" s="65"/>
      <c r="E64" s="48"/>
      <c r="F64" s="6"/>
      <c r="G64" s="6"/>
      <c r="H64" s="6"/>
      <c r="I64" s="6"/>
      <c r="J64" s="5"/>
      <c r="K64" s="26"/>
      <c r="L64" s="5"/>
      <c r="P64" s="11"/>
    </row>
    <row r="65" spans="2:16" outlineLevel="1" x14ac:dyDescent="0.25">
      <c r="B65" s="35" t="s">
        <v>11</v>
      </c>
      <c r="D65" s="72">
        <v>500</v>
      </c>
      <c r="F65" s="9">
        <f>+$D$65*$D$29*$F$22</f>
        <v>190000000</v>
      </c>
      <c r="G65" s="9">
        <v>0</v>
      </c>
      <c r="H65" s="9">
        <v>0</v>
      </c>
      <c r="I65" s="9">
        <v>0</v>
      </c>
      <c r="K65" s="27">
        <f>+SUM(F65:I65)</f>
        <v>190000000</v>
      </c>
      <c r="M65" s="10"/>
      <c r="N65" s="13"/>
    </row>
    <row r="66" spans="2:16" ht="14.25" customHeight="1" outlineLevel="1" x14ac:dyDescent="0.25">
      <c r="B66" s="35" t="s">
        <v>44</v>
      </c>
      <c r="D66" s="72">
        <v>2000</v>
      </c>
      <c r="F66" s="9">
        <v>0</v>
      </c>
      <c r="G66" s="9">
        <f>+($D$66*$F$22)*(G24/$F$24)*$D$29*(G69-F69)</f>
        <v>436057449.04218847</v>
      </c>
      <c r="H66" s="9">
        <f t="shared" ref="H66:I66" si="18">+($D$66*$F$22)*(H24/$F$24)*$D$29*(H69-G69)</f>
        <v>558153534.77400112</v>
      </c>
      <c r="I66" s="9">
        <f t="shared" si="18"/>
        <v>337682888.53827059</v>
      </c>
      <c r="K66" s="27">
        <f>+SUM(F66:I66)</f>
        <v>1331893872.3544602</v>
      </c>
      <c r="M66" s="10"/>
      <c r="N66" s="13"/>
    </row>
    <row r="67" spans="2:16" outlineLevel="1" x14ac:dyDescent="0.25">
      <c r="B67" s="37" t="s">
        <v>29</v>
      </c>
      <c r="C67" s="54"/>
      <c r="D67" s="104"/>
      <c r="E67" s="54"/>
      <c r="F67" s="97">
        <f>SUM(F65:F66)+E67</f>
        <v>190000000</v>
      </c>
      <c r="G67" s="97">
        <f>SUM(G65:G66)+F67</f>
        <v>626057449.04218841</v>
      </c>
      <c r="H67" s="97">
        <f>SUM(H65:H66)+G67</f>
        <v>1184210983.8161895</v>
      </c>
      <c r="I67" s="97">
        <f>SUM(I65:I66)+H67</f>
        <v>1521893872.3544602</v>
      </c>
      <c r="J67" s="97"/>
      <c r="K67" s="97">
        <f>SUM(K65:K66)</f>
        <v>1521893872.3544602</v>
      </c>
      <c r="M67" s="8"/>
    </row>
    <row r="68" spans="2:16" ht="7.5" customHeight="1" outlineLevel="1" x14ac:dyDescent="0.25">
      <c r="B68" s="61"/>
      <c r="D68" s="67"/>
      <c r="F68" s="7"/>
      <c r="G68" s="7"/>
      <c r="H68" s="7"/>
      <c r="I68" s="7"/>
      <c r="J68" s="5"/>
      <c r="K68" s="29"/>
      <c r="L68" s="5"/>
      <c r="P68" s="11"/>
    </row>
    <row r="69" spans="2:16" s="84" customFormat="1" outlineLevel="1" collapsed="1" x14ac:dyDescent="0.25">
      <c r="B69" s="105" t="s">
        <v>50</v>
      </c>
      <c r="C69" s="85"/>
      <c r="D69" s="69"/>
      <c r="E69" s="85"/>
      <c r="F69" s="69">
        <v>0</v>
      </c>
      <c r="G69" s="69">
        <v>0.4</v>
      </c>
      <c r="H69" s="69">
        <v>0.8</v>
      </c>
      <c r="I69" s="69">
        <v>1</v>
      </c>
      <c r="K69" s="86"/>
      <c r="M69" s="87"/>
    </row>
    <row r="70" spans="2:16" ht="7.5" customHeight="1" x14ac:dyDescent="0.25">
      <c r="B70" s="61"/>
      <c r="D70" s="67"/>
      <c r="F70" s="7"/>
      <c r="G70" s="7"/>
      <c r="H70" s="7"/>
      <c r="I70" s="7"/>
      <c r="J70" s="5"/>
      <c r="K70" s="29"/>
      <c r="L70" s="5"/>
      <c r="P70" s="11"/>
    </row>
    <row r="71" spans="2:16" ht="15.75" thickBot="1" x14ac:dyDescent="0.3">
      <c r="B71" s="78" t="s">
        <v>36</v>
      </c>
      <c r="C71" s="79"/>
      <c r="D71" s="80"/>
      <c r="E71" s="79"/>
      <c r="F71" s="81"/>
      <c r="G71" s="81"/>
      <c r="H71" s="81"/>
      <c r="I71" s="81"/>
      <c r="J71" s="81"/>
      <c r="K71" s="81"/>
      <c r="L71" s="5"/>
    </row>
    <row r="72" spans="2:16" ht="7.5" customHeight="1" outlineLevel="1" thickTop="1" x14ac:dyDescent="0.25">
      <c r="B72" s="35"/>
      <c r="D72" s="67"/>
      <c r="F72" s="7"/>
      <c r="G72" s="7"/>
      <c r="H72" s="7"/>
      <c r="I72" s="7"/>
      <c r="J72" s="5"/>
      <c r="K72" s="29"/>
      <c r="L72" s="5"/>
      <c r="P72" s="11"/>
    </row>
    <row r="73" spans="2:16" outlineLevel="1" x14ac:dyDescent="0.25">
      <c r="B73" s="56" t="s">
        <v>7</v>
      </c>
      <c r="C73" s="47"/>
      <c r="D73" s="64"/>
      <c r="E73" s="47"/>
      <c r="F73" s="31"/>
      <c r="G73" s="31"/>
      <c r="H73" s="31"/>
      <c r="I73" s="31"/>
      <c r="J73" s="31"/>
      <c r="K73" s="31"/>
      <c r="L73" s="5"/>
    </row>
    <row r="74" spans="2:16" outlineLevel="1" x14ac:dyDescent="0.25">
      <c r="B74" s="34" t="s">
        <v>0</v>
      </c>
      <c r="C74" s="49"/>
      <c r="D74" s="67"/>
      <c r="E74" s="49"/>
      <c r="F74" s="7">
        <v>0</v>
      </c>
      <c r="G74" s="7">
        <v>0</v>
      </c>
      <c r="H74" s="7">
        <v>0</v>
      </c>
      <c r="I74" s="7">
        <f>+SUM($F$61:$I$61)</f>
        <v>2497245441.9501014</v>
      </c>
      <c r="J74" s="5"/>
      <c r="K74" s="29">
        <f>+SUM(F74:I74)</f>
        <v>2497245441.9501014</v>
      </c>
      <c r="L74" s="5"/>
      <c r="M74" s="115">
        <f>+K74-K61</f>
        <v>0</v>
      </c>
    </row>
    <row r="75" spans="2:16" outlineLevel="1" x14ac:dyDescent="0.25">
      <c r="B75" s="35" t="s">
        <v>1</v>
      </c>
      <c r="D75" s="74"/>
      <c r="F75" s="5">
        <v>0</v>
      </c>
      <c r="G75" s="5">
        <v>0</v>
      </c>
      <c r="H75" s="5">
        <v>0</v>
      </c>
      <c r="I75" s="5">
        <f>-K67</f>
        <v>-1521893872.3544602</v>
      </c>
      <c r="J75" s="5"/>
      <c r="K75" s="27">
        <f>+SUM(F75:I75)</f>
        <v>-1521893872.3544602</v>
      </c>
      <c r="L75" s="5"/>
      <c r="M75" s="115">
        <f>+K75+K67</f>
        <v>0</v>
      </c>
    </row>
    <row r="76" spans="2:16" outlineLevel="1" x14ac:dyDescent="0.25">
      <c r="B76" s="37" t="s">
        <v>45</v>
      </c>
      <c r="C76" s="54"/>
      <c r="D76" s="77"/>
      <c r="E76" s="54"/>
      <c r="F76" s="28">
        <f>+SUM(F74:F75)</f>
        <v>0</v>
      </c>
      <c r="G76" s="28">
        <f>+SUM(G74:G75)</f>
        <v>0</v>
      </c>
      <c r="H76" s="28">
        <f>+SUM(H74:H75)</f>
        <v>0</v>
      </c>
      <c r="I76" s="28">
        <f>+SUM(I74:I75)</f>
        <v>975351569.59564114</v>
      </c>
      <c r="J76" s="99"/>
      <c r="K76" s="28">
        <f>+SUM(F76:I76)</f>
        <v>975351569.59564114</v>
      </c>
      <c r="L76" s="8"/>
      <c r="P76" s="11"/>
    </row>
    <row r="77" spans="2:16" outlineLevel="1" x14ac:dyDescent="0.25">
      <c r="B77" s="40" t="s">
        <v>30</v>
      </c>
      <c r="C77" s="53"/>
      <c r="D77" s="76"/>
      <c r="E77" s="53"/>
      <c r="F77" s="29">
        <v>0</v>
      </c>
      <c r="G77" s="29">
        <v>0</v>
      </c>
      <c r="H77" s="29">
        <v>0</v>
      </c>
      <c r="I77" s="98">
        <f>+I76/I74</f>
        <v>0.3905709679998407</v>
      </c>
      <c r="J77" s="8"/>
      <c r="K77" s="98">
        <f>+K76/K74</f>
        <v>0.3905709679998407</v>
      </c>
      <c r="L77" s="8"/>
      <c r="P77" s="11"/>
    </row>
    <row r="78" spans="2:16" ht="7.5" customHeight="1" outlineLevel="1" x14ac:dyDescent="0.25">
      <c r="B78" s="106"/>
      <c r="D78" s="67"/>
      <c r="F78" s="7"/>
      <c r="G78" s="7"/>
      <c r="H78" s="7"/>
      <c r="I78" s="7"/>
      <c r="J78" s="5"/>
      <c r="K78" s="29"/>
      <c r="L78" s="5"/>
      <c r="P78" s="11"/>
    </row>
    <row r="79" spans="2:16" outlineLevel="1" x14ac:dyDescent="0.25">
      <c r="B79" s="109" t="s">
        <v>33</v>
      </c>
      <c r="C79" s="110"/>
      <c r="D79" s="111"/>
      <c r="E79" s="110"/>
      <c r="F79" s="112">
        <f>+F76/F22</f>
        <v>0</v>
      </c>
      <c r="G79" s="112">
        <f>+G76/G22</f>
        <v>0</v>
      </c>
      <c r="H79" s="112">
        <f>+H76/H22</f>
        <v>0</v>
      </c>
      <c r="I79" s="112">
        <f>+I76/I22</f>
        <v>17830924.489865467</v>
      </c>
      <c r="J79" s="113"/>
      <c r="K79" s="112">
        <f>+SUM(F79:I79)</f>
        <v>17830924.489865467</v>
      </c>
      <c r="L79" s="8"/>
      <c r="P79" s="11"/>
    </row>
    <row r="80" spans="2:16" outlineLevel="1" x14ac:dyDescent="0.25">
      <c r="B80" s="109" t="s">
        <v>34</v>
      </c>
      <c r="C80" s="110"/>
      <c r="D80" s="111"/>
      <c r="E80" s="110"/>
      <c r="F80" s="112">
        <f>+F79/$D$29</f>
        <v>0</v>
      </c>
      <c r="G80" s="112">
        <f t="shared" ref="G80:K80" si="19">+G79/$D$29</f>
        <v>0</v>
      </c>
      <c r="H80" s="112">
        <f t="shared" si="19"/>
        <v>0</v>
      </c>
      <c r="I80" s="112">
        <f t="shared" si="19"/>
        <v>891.54622449327337</v>
      </c>
      <c r="J80" s="113"/>
      <c r="K80" s="112">
        <f t="shared" si="19"/>
        <v>891.54622449327337</v>
      </c>
      <c r="L80" s="8"/>
      <c r="P80" s="11"/>
    </row>
    <row r="81" spans="2:16" ht="7.5" customHeight="1" outlineLevel="1" x14ac:dyDescent="0.25">
      <c r="B81" s="35"/>
      <c r="D81" s="67"/>
      <c r="F81" s="7"/>
      <c r="G81" s="7"/>
      <c r="H81" s="7"/>
      <c r="I81" s="7"/>
      <c r="J81" s="5"/>
      <c r="K81" s="29"/>
      <c r="L81" s="5"/>
      <c r="P81" s="11"/>
    </row>
    <row r="82" spans="2:16" outlineLevel="1" x14ac:dyDescent="0.25">
      <c r="B82" s="56" t="s">
        <v>9</v>
      </c>
      <c r="C82" s="47"/>
      <c r="D82" s="64"/>
      <c r="E82" s="47"/>
      <c r="F82" s="31"/>
      <c r="G82" s="31"/>
      <c r="H82" s="31"/>
      <c r="I82" s="31"/>
      <c r="J82" s="31"/>
      <c r="K82" s="31"/>
      <c r="L82" s="5"/>
    </row>
    <row r="83" spans="2:16" outlineLevel="1" x14ac:dyDescent="0.25">
      <c r="B83" s="34" t="s">
        <v>13</v>
      </c>
      <c r="C83" s="49"/>
      <c r="D83" s="67"/>
      <c r="E83" s="49"/>
      <c r="F83" s="7">
        <f>+SUM(F61,-(F65+F66))+E83</f>
        <v>70571428.571428597</v>
      </c>
      <c r="G83" s="7">
        <f>+SUM(G61,-(G65+G66))+F83</f>
        <v>140590819.20084757</v>
      </c>
      <c r="H83" s="7">
        <f>+SUM(H61,-(H65+H66))+G83</f>
        <v>643838496.34936142</v>
      </c>
      <c r="I83" s="7">
        <f>+SUM(I61,-(I65+I66))+H83</f>
        <v>975351569.59564126</v>
      </c>
      <c r="J83" s="7"/>
      <c r="K83" s="29">
        <f>+I83</f>
        <v>975351569.59564126</v>
      </c>
      <c r="L83" s="5"/>
    </row>
    <row r="84" spans="2:16" outlineLevel="1" x14ac:dyDescent="0.25">
      <c r="B84" s="35" t="s">
        <v>46</v>
      </c>
      <c r="D84" s="74"/>
      <c r="F84" s="5">
        <f>+F67+SUM($F75:F75)</f>
        <v>190000000</v>
      </c>
      <c r="G84" s="5">
        <f>+G67+SUM($F75:G75)</f>
        <v>626057449.04218841</v>
      </c>
      <c r="H84" s="5">
        <f>+H67+SUM($F75:H75)</f>
        <v>1184210983.8161895</v>
      </c>
      <c r="I84" s="5">
        <f>+I67+SUM($F75:I75)</f>
        <v>0</v>
      </c>
      <c r="J84" s="5"/>
      <c r="K84" s="29">
        <f>+I84</f>
        <v>0</v>
      </c>
      <c r="L84" s="5"/>
    </row>
    <row r="85" spans="2:16" outlineLevel="1" x14ac:dyDescent="0.25">
      <c r="B85" s="37" t="s">
        <v>2</v>
      </c>
      <c r="C85" s="54"/>
      <c r="D85" s="77"/>
      <c r="E85" s="54"/>
      <c r="F85" s="28">
        <f>SUM(F83:F84)</f>
        <v>260571428.5714286</v>
      </c>
      <c r="G85" s="28">
        <f t="shared" ref="G85:I85" si="20">SUM(G83:G84)</f>
        <v>766648268.24303603</v>
      </c>
      <c r="H85" s="28">
        <f t="shared" si="20"/>
        <v>1828049480.1655509</v>
      </c>
      <c r="I85" s="28">
        <f t="shared" si="20"/>
        <v>975351569.59564126</v>
      </c>
      <c r="J85" s="28"/>
      <c r="K85" s="28">
        <f t="shared" ref="K85" si="21">SUM(K83:K84)</f>
        <v>975351569.59564126</v>
      </c>
      <c r="L85" s="5"/>
    </row>
    <row r="86" spans="2:16" ht="4.5" customHeight="1" outlineLevel="1" x14ac:dyDescent="0.25">
      <c r="B86" s="35"/>
      <c r="D86" s="67"/>
      <c r="F86" s="7"/>
      <c r="G86" s="7"/>
      <c r="H86" s="7"/>
      <c r="I86" s="7"/>
      <c r="J86" s="7"/>
      <c r="K86" s="29"/>
      <c r="L86" s="5"/>
      <c r="P86" s="11"/>
    </row>
    <row r="87" spans="2:16" outlineLevel="1" x14ac:dyDescent="0.25">
      <c r="B87" s="35" t="s">
        <v>47</v>
      </c>
      <c r="D87" s="74"/>
      <c r="F87" s="5">
        <f>+SUM($F61:F61)-SUM($F74:F74)</f>
        <v>260571428.5714286</v>
      </c>
      <c r="G87" s="5">
        <f>+SUM($F61:G61)-SUM($F74:G74)</f>
        <v>766648268.24303603</v>
      </c>
      <c r="H87" s="5">
        <f>+SUM($F61:H61)-SUM($F74:H74)</f>
        <v>1828049480.1655509</v>
      </c>
      <c r="I87" s="5">
        <f>+SUM($F61:I61)-SUM($F74:I74)</f>
        <v>0</v>
      </c>
      <c r="J87" s="5"/>
      <c r="K87" s="27">
        <f>+I87</f>
        <v>0</v>
      </c>
      <c r="L87" s="5"/>
    </row>
    <row r="88" spans="2:16" outlineLevel="1" x14ac:dyDescent="0.25">
      <c r="B88" s="37" t="s">
        <v>3</v>
      </c>
      <c r="C88" s="54"/>
      <c r="D88" s="77"/>
      <c r="E88" s="54"/>
      <c r="F88" s="28">
        <f>SUM(F87:F87)</f>
        <v>260571428.5714286</v>
      </c>
      <c r="G88" s="28">
        <f>SUM(G87:G87)</f>
        <v>766648268.24303603</v>
      </c>
      <c r="H88" s="28">
        <f>SUM(H87:H87)</f>
        <v>1828049480.1655509</v>
      </c>
      <c r="I88" s="28">
        <f>SUM(I87:I87)</f>
        <v>0</v>
      </c>
      <c r="J88" s="28"/>
      <c r="K88" s="28">
        <f t="shared" ref="K88" si="22">SUM(K87:K87)</f>
        <v>0</v>
      </c>
      <c r="L88" s="5"/>
    </row>
    <row r="89" spans="2:16" ht="4.5" customHeight="1" outlineLevel="1" x14ac:dyDescent="0.25">
      <c r="B89" s="35"/>
      <c r="D89" s="67"/>
      <c r="F89" s="7"/>
      <c r="G89" s="7"/>
      <c r="H89" s="7"/>
      <c r="I89" s="7"/>
      <c r="J89" s="7"/>
      <c r="K89" s="29"/>
      <c r="L89" s="5"/>
      <c r="P89" s="11"/>
    </row>
    <row r="90" spans="2:16" outlineLevel="1" x14ac:dyDescent="0.25">
      <c r="B90" s="35" t="s">
        <v>10</v>
      </c>
      <c r="D90" s="74"/>
      <c r="F90" s="5">
        <f>+SUM($F76:F76)</f>
        <v>0</v>
      </c>
      <c r="G90" s="5">
        <f>+SUM($F76:G76)</f>
        <v>0</v>
      </c>
      <c r="H90" s="5">
        <f>+SUM($F76:H76)</f>
        <v>0</v>
      </c>
      <c r="I90" s="5">
        <f>+SUM($F76:I76)</f>
        <v>975351569.59564114</v>
      </c>
      <c r="J90" s="5"/>
      <c r="K90" s="27">
        <f>+I90</f>
        <v>975351569.59564114</v>
      </c>
      <c r="L90" s="5"/>
    </row>
    <row r="91" spans="2:16" outlineLevel="1" x14ac:dyDescent="0.25">
      <c r="B91" s="37" t="s">
        <v>4</v>
      </c>
      <c r="C91" s="54"/>
      <c r="D91" s="77"/>
      <c r="E91" s="54"/>
      <c r="F91" s="28">
        <f>SUM(F90:F90)</f>
        <v>0</v>
      </c>
      <c r="G91" s="28">
        <f>SUM(G90:G90)</f>
        <v>0</v>
      </c>
      <c r="H91" s="28">
        <f>SUM(H90:H90)</f>
        <v>0</v>
      </c>
      <c r="I91" s="28">
        <f>SUM(I90:I90)</f>
        <v>975351569.59564114</v>
      </c>
      <c r="J91" s="28"/>
      <c r="K91" s="28">
        <f t="shared" ref="K91" si="23">SUM(K90:K90)</f>
        <v>975351569.59564114</v>
      </c>
      <c r="L91" s="5"/>
    </row>
    <row r="92" spans="2:16" ht="4.5" customHeight="1" outlineLevel="1" x14ac:dyDescent="0.25">
      <c r="B92" s="35"/>
      <c r="D92" s="67"/>
      <c r="F92" s="7"/>
      <c r="G92" s="7"/>
      <c r="H92" s="7"/>
      <c r="I92" s="7"/>
      <c r="J92" s="7"/>
      <c r="K92" s="29"/>
      <c r="L92" s="5"/>
      <c r="P92" s="11"/>
    </row>
    <row r="93" spans="2:16" outlineLevel="1" x14ac:dyDescent="0.25">
      <c r="B93" s="36" t="s">
        <v>5</v>
      </c>
      <c r="C93" s="52"/>
      <c r="D93" s="75"/>
      <c r="E93" s="52"/>
      <c r="F93" s="26">
        <f>+F88+F91</f>
        <v>260571428.5714286</v>
      </c>
      <c r="G93" s="26">
        <f t="shared" ref="G93:I93" si="24">+G88+G91</f>
        <v>766648268.24303603</v>
      </c>
      <c r="H93" s="26">
        <f t="shared" si="24"/>
        <v>1828049480.1655509</v>
      </c>
      <c r="I93" s="26">
        <f t="shared" si="24"/>
        <v>975351569.59564114</v>
      </c>
      <c r="J93" s="26"/>
      <c r="K93" s="26">
        <f t="shared" ref="K93" si="25">+K88+K91</f>
        <v>975351569.59564114</v>
      </c>
      <c r="L93" s="5"/>
    </row>
    <row r="94" spans="2:16" ht="7.5" customHeight="1" outlineLevel="1" x14ac:dyDescent="0.25">
      <c r="B94" s="61"/>
      <c r="D94" s="67"/>
      <c r="F94" s="7"/>
      <c r="G94" s="7"/>
      <c r="H94" s="7"/>
      <c r="I94" s="7"/>
      <c r="J94" s="5"/>
      <c r="K94" s="29"/>
      <c r="L94" s="5"/>
      <c r="P94" s="11"/>
    </row>
    <row r="95" spans="2:16" outlineLevel="1" x14ac:dyDescent="0.25">
      <c r="B95" s="40"/>
      <c r="C95" s="53"/>
      <c r="D95" s="76"/>
      <c r="E95" s="53"/>
      <c r="F95" s="115">
        <f>+F93-F85</f>
        <v>0</v>
      </c>
      <c r="G95" s="115">
        <f t="shared" ref="G95:K95" si="26">+G93-G85</f>
        <v>0</v>
      </c>
      <c r="H95" s="115">
        <f t="shared" si="26"/>
        <v>0</v>
      </c>
      <c r="I95" s="115">
        <f t="shared" si="26"/>
        <v>0</v>
      </c>
      <c r="J95" s="115"/>
      <c r="K95" s="115">
        <f t="shared" si="26"/>
        <v>0</v>
      </c>
      <c r="L95" s="5"/>
    </row>
    <row r="96" spans="2:16" ht="7.5" customHeight="1" x14ac:dyDescent="0.25">
      <c r="B96" s="61"/>
      <c r="D96" s="67"/>
      <c r="F96" s="7"/>
      <c r="G96" s="7"/>
      <c r="H96" s="7"/>
      <c r="I96" s="7"/>
      <c r="J96" s="5"/>
      <c r="K96" s="29"/>
      <c r="L96" s="5"/>
      <c r="P96" s="11"/>
    </row>
    <row r="97" spans="2:16" ht="15.75" thickBot="1" x14ac:dyDescent="0.3">
      <c r="B97" s="78" t="s">
        <v>48</v>
      </c>
      <c r="C97" s="79"/>
      <c r="D97" s="80"/>
      <c r="E97" s="79"/>
      <c r="F97" s="81"/>
      <c r="G97" s="81"/>
      <c r="H97" s="81"/>
      <c r="I97" s="81"/>
      <c r="J97" s="81"/>
      <c r="K97" s="81"/>
      <c r="L97" s="5"/>
    </row>
    <row r="98" spans="2:16" ht="7.5" customHeight="1" outlineLevel="1" thickTop="1" x14ac:dyDescent="0.25">
      <c r="B98" s="35"/>
      <c r="D98" s="67"/>
      <c r="F98" s="7"/>
      <c r="G98" s="7"/>
      <c r="H98" s="7"/>
      <c r="I98" s="7"/>
      <c r="J98" s="5"/>
      <c r="K98" s="29"/>
      <c r="L98" s="5"/>
      <c r="P98" s="11"/>
    </row>
    <row r="99" spans="2:16" outlineLevel="1" x14ac:dyDescent="0.25">
      <c r="B99" s="34" t="s">
        <v>0</v>
      </c>
      <c r="C99" s="49"/>
      <c r="D99" s="67"/>
      <c r="E99" s="49"/>
      <c r="F99" s="7">
        <v>0</v>
      </c>
      <c r="G99" s="7">
        <v>0</v>
      </c>
      <c r="H99" s="7">
        <v>0</v>
      </c>
      <c r="I99" s="7">
        <f>+SUMPRODUCT(($F$61:$I$61)*1/($F$22:$I$22))</f>
        <v>60712661.785989061</v>
      </c>
      <c r="J99" s="5"/>
      <c r="K99" s="29">
        <f>+SUM(F99:I99)</f>
        <v>60712661.785989061</v>
      </c>
      <c r="L99" s="5"/>
    </row>
    <row r="100" spans="2:16" outlineLevel="1" x14ac:dyDescent="0.25">
      <c r="B100" s="35" t="s">
        <v>1</v>
      </c>
      <c r="D100" s="74"/>
      <c r="F100" s="5">
        <v>0</v>
      </c>
      <c r="G100" s="5">
        <v>0</v>
      </c>
      <c r="H100" s="5">
        <v>0</v>
      </c>
      <c r="I100" s="5">
        <f>-SUMPRODUCT(($F$65:$I$66)*1/($F$22:$I$22))</f>
        <v>-38702996.632047571</v>
      </c>
      <c r="J100" s="5"/>
      <c r="K100" s="27">
        <f>+SUM(F100:I100)</f>
        <v>-38702996.632047571</v>
      </c>
      <c r="L100" s="5"/>
    </row>
    <row r="101" spans="2:16" outlineLevel="1" x14ac:dyDescent="0.25">
      <c r="B101" s="37" t="s">
        <v>32</v>
      </c>
      <c r="C101" s="54"/>
      <c r="D101" s="77"/>
      <c r="E101" s="54"/>
      <c r="F101" s="28">
        <f>+SUM(F99:F100)</f>
        <v>0</v>
      </c>
      <c r="G101" s="28">
        <f>+SUM(G99:G100)</f>
        <v>0</v>
      </c>
      <c r="H101" s="28">
        <f>+SUM(H99:H100)</f>
        <v>0</v>
      </c>
      <c r="I101" s="28">
        <f>+SUM(I99:I100)</f>
        <v>22009665.15394149</v>
      </c>
      <c r="J101" s="99"/>
      <c r="K101" s="28">
        <f>+SUM(F101:I101)</f>
        <v>22009665.15394149</v>
      </c>
      <c r="L101" s="8"/>
      <c r="P101" s="11"/>
    </row>
    <row r="102" spans="2:16" outlineLevel="1" x14ac:dyDescent="0.25">
      <c r="B102" s="40" t="s">
        <v>30</v>
      </c>
      <c r="C102" s="53"/>
      <c r="D102" s="76"/>
      <c r="E102" s="53"/>
      <c r="F102" s="29">
        <v>0</v>
      </c>
      <c r="G102" s="29">
        <v>0</v>
      </c>
      <c r="H102" s="29">
        <v>0</v>
      </c>
      <c r="I102" s="98">
        <f>+I101/I99</f>
        <v>0.36252182833829832</v>
      </c>
      <c r="J102" s="8"/>
      <c r="K102" s="98">
        <f>+K101/K99</f>
        <v>0.36252182833829832</v>
      </c>
      <c r="L102" s="8"/>
      <c r="P102" s="11"/>
    </row>
    <row r="103" spans="2:16" ht="7.5" customHeight="1" outlineLevel="1" x14ac:dyDescent="0.25">
      <c r="B103" s="106"/>
      <c r="D103" s="67"/>
      <c r="F103" s="7"/>
      <c r="G103" s="7"/>
      <c r="H103" s="7"/>
      <c r="I103" s="7"/>
      <c r="J103" s="5"/>
      <c r="K103" s="29"/>
      <c r="L103" s="5"/>
      <c r="P103" s="11"/>
    </row>
    <row r="104" spans="2:16" outlineLevel="1" x14ac:dyDescent="0.25">
      <c r="B104" s="109" t="s">
        <v>34</v>
      </c>
      <c r="C104" s="110"/>
      <c r="D104" s="111"/>
      <c r="E104" s="110"/>
      <c r="F104" s="112">
        <f>+F101/$D$29</f>
        <v>0</v>
      </c>
      <c r="G104" s="112">
        <f t="shared" ref="G104:K104" si="27">+G101/$D$29</f>
        <v>0</v>
      </c>
      <c r="H104" s="112">
        <f t="shared" si="27"/>
        <v>0</v>
      </c>
      <c r="I104" s="112">
        <f t="shared" si="27"/>
        <v>1100.4832576970746</v>
      </c>
      <c r="J104" s="112"/>
      <c r="K104" s="112">
        <f t="shared" si="27"/>
        <v>1100.4832576970746</v>
      </c>
      <c r="L104" s="8"/>
      <c r="P104" s="11"/>
    </row>
    <row r="105" spans="2:16" outlineLevel="1" x14ac:dyDescent="0.25">
      <c r="B105" s="109" t="s">
        <v>35</v>
      </c>
      <c r="C105" s="110"/>
      <c r="D105" s="111"/>
      <c r="E105" s="110"/>
      <c r="F105" s="112"/>
      <c r="G105" s="112"/>
      <c r="H105" s="112"/>
      <c r="I105" s="112"/>
      <c r="J105" s="112"/>
      <c r="K105" s="114">
        <f>+K104/$K$80-1</f>
        <v>0.23435356178256983</v>
      </c>
      <c r="L105" s="8"/>
      <c r="P105" s="11"/>
    </row>
    <row r="106" spans="2:16" ht="7.5" customHeight="1" x14ac:dyDescent="0.25">
      <c r="B106" s="61"/>
      <c r="D106" s="67"/>
      <c r="F106" s="7"/>
      <c r="G106" s="7"/>
      <c r="H106" s="7"/>
      <c r="I106" s="7"/>
      <c r="J106" s="5"/>
      <c r="K106" s="29"/>
      <c r="L106" s="5"/>
      <c r="P106" s="11"/>
    </row>
    <row r="107" spans="2:16" ht="15.75" thickBot="1" x14ac:dyDescent="0.3">
      <c r="B107" s="78" t="s">
        <v>49</v>
      </c>
      <c r="C107" s="79"/>
      <c r="D107" s="80"/>
      <c r="E107" s="79"/>
      <c r="F107" s="81"/>
      <c r="G107" s="81"/>
      <c r="H107" s="81"/>
      <c r="I107" s="81"/>
      <c r="J107" s="81"/>
      <c r="K107" s="81"/>
      <c r="L107" s="5"/>
    </row>
    <row r="108" spans="2:16" ht="7.5" customHeight="1" outlineLevel="1" thickTop="1" x14ac:dyDescent="0.25">
      <c r="B108" s="35"/>
      <c r="D108" s="67"/>
      <c r="F108" s="7"/>
      <c r="G108" s="7"/>
      <c r="H108" s="7"/>
      <c r="I108" s="7"/>
      <c r="J108" s="5"/>
      <c r="K108" s="29"/>
      <c r="L108" s="5"/>
      <c r="P108" s="11"/>
    </row>
    <row r="109" spans="2:16" outlineLevel="1" x14ac:dyDescent="0.25">
      <c r="B109" s="34" t="s">
        <v>0</v>
      </c>
      <c r="C109" s="49"/>
      <c r="D109" s="67"/>
      <c r="E109" s="49"/>
      <c r="F109" s="7">
        <v>0</v>
      </c>
      <c r="G109" s="7">
        <v>0</v>
      </c>
      <c r="H109" s="7">
        <v>0</v>
      </c>
      <c r="I109" s="7">
        <f>+SUMPRODUCT(($F$61:$I$61)*1/($F$24:$I$24))*$I$24</f>
        <v>3316188189.2740717</v>
      </c>
      <c r="J109" s="5"/>
      <c r="K109" s="29">
        <f>+SUM(F109:I109)</f>
        <v>3316188189.2740717</v>
      </c>
      <c r="L109" s="5"/>
    </row>
    <row r="110" spans="2:16" outlineLevel="1" x14ac:dyDescent="0.25">
      <c r="B110" s="35" t="s">
        <v>1</v>
      </c>
      <c r="D110" s="74"/>
      <c r="F110" s="5">
        <v>0</v>
      </c>
      <c r="G110" s="5">
        <v>0</v>
      </c>
      <c r="H110" s="5">
        <v>0</v>
      </c>
      <c r="I110" s="5">
        <f>-SUMPRODUCT(($F$65:$I$66)*1/($F$24:$I$24))*$I$24</f>
        <v>-2110518053.3641918</v>
      </c>
      <c r="J110" s="5"/>
      <c r="K110" s="27">
        <f>+SUM(F110:I110)</f>
        <v>-2110518053.3641918</v>
      </c>
      <c r="L110" s="5"/>
    </row>
    <row r="111" spans="2:16" outlineLevel="1" x14ac:dyDescent="0.25">
      <c r="B111" s="37" t="s">
        <v>32</v>
      </c>
      <c r="C111" s="54"/>
      <c r="D111" s="77"/>
      <c r="E111" s="54"/>
      <c r="F111" s="28">
        <f>+SUM(F109:F110)</f>
        <v>0</v>
      </c>
      <c r="G111" s="28">
        <f>+SUM(G109:G110)</f>
        <v>0</v>
      </c>
      <c r="H111" s="28">
        <f>+SUM(H109:H110)</f>
        <v>0</v>
      </c>
      <c r="I111" s="28">
        <f>+SUM(I109:I110)</f>
        <v>1205670135.9098799</v>
      </c>
      <c r="J111" s="99"/>
      <c r="K111" s="28">
        <f>+SUM(F111:I111)</f>
        <v>1205670135.9098799</v>
      </c>
      <c r="L111" s="8"/>
      <c r="P111" s="11"/>
    </row>
    <row r="112" spans="2:16" outlineLevel="1" x14ac:dyDescent="0.25">
      <c r="B112" s="40" t="s">
        <v>30</v>
      </c>
      <c r="C112" s="53"/>
      <c r="D112" s="76"/>
      <c r="E112" s="53"/>
      <c r="F112" s="29">
        <v>0</v>
      </c>
      <c r="G112" s="29">
        <v>0</v>
      </c>
      <c r="H112" s="29">
        <v>0</v>
      </c>
      <c r="I112" s="98">
        <f>+I111/I109</f>
        <v>0.36357108435809443</v>
      </c>
      <c r="J112" s="8"/>
      <c r="K112" s="98">
        <f>+K111/K109</f>
        <v>0.36357108435809443</v>
      </c>
      <c r="L112" s="8"/>
      <c r="P112" s="11"/>
    </row>
    <row r="113" spans="2:16" ht="7.5" customHeight="1" outlineLevel="1" x14ac:dyDescent="0.25">
      <c r="B113" s="106"/>
      <c r="D113" s="67"/>
      <c r="F113" s="7"/>
      <c r="G113" s="7"/>
      <c r="H113" s="7"/>
      <c r="I113" s="7"/>
      <c r="J113" s="5"/>
      <c r="K113" s="29"/>
      <c r="L113" s="5"/>
      <c r="P113" s="11"/>
    </row>
    <row r="114" spans="2:16" outlineLevel="1" x14ac:dyDescent="0.25">
      <c r="B114" s="109" t="s">
        <v>33</v>
      </c>
      <c r="C114" s="110"/>
      <c r="D114" s="111"/>
      <c r="E114" s="110"/>
      <c r="F114" s="112">
        <f>+F111/F22</f>
        <v>0</v>
      </c>
      <c r="G114" s="112">
        <f>+G111/G22</f>
        <v>0</v>
      </c>
      <c r="H114" s="112">
        <f>+H111/H22</f>
        <v>0</v>
      </c>
      <c r="I114" s="112">
        <f>+I111/I22</f>
        <v>22041501.570564531</v>
      </c>
      <c r="J114" s="113"/>
      <c r="K114" s="112">
        <f>+SUM(F114:I114)</f>
        <v>22041501.570564531</v>
      </c>
      <c r="L114" s="8"/>
      <c r="P114" s="11"/>
    </row>
    <row r="115" spans="2:16" outlineLevel="1" x14ac:dyDescent="0.25">
      <c r="B115" s="109" t="s">
        <v>34</v>
      </c>
      <c r="C115" s="110"/>
      <c r="D115" s="111"/>
      <c r="E115" s="110"/>
      <c r="F115" s="112">
        <f>+F114/$D$29</f>
        <v>0</v>
      </c>
      <c r="G115" s="112">
        <f t="shared" ref="G115:I115" si="28">+G114/$D$29</f>
        <v>0</v>
      </c>
      <c r="H115" s="112">
        <f t="shared" si="28"/>
        <v>0</v>
      </c>
      <c r="I115" s="112">
        <f t="shared" si="28"/>
        <v>1102.0750785282266</v>
      </c>
      <c r="J115" s="113"/>
      <c r="K115" s="112">
        <f t="shared" ref="K115" si="29">+K114/$D$29</f>
        <v>1102.0750785282266</v>
      </c>
      <c r="L115" s="8"/>
      <c r="P115" s="11"/>
    </row>
    <row r="116" spans="2:16" outlineLevel="1" x14ac:dyDescent="0.25">
      <c r="B116" s="109" t="s">
        <v>35</v>
      </c>
      <c r="C116" s="110"/>
      <c r="D116" s="111"/>
      <c r="E116" s="110"/>
      <c r="F116" s="112"/>
      <c r="G116" s="112"/>
      <c r="H116" s="112"/>
      <c r="I116" s="112"/>
      <c r="J116" s="112"/>
      <c r="K116" s="114">
        <f>+K115/$K$80-1</f>
        <v>0.23613902257800623</v>
      </c>
      <c r="L116" s="8"/>
      <c r="P116" s="11"/>
    </row>
    <row r="117" spans="2:16" ht="7.5" customHeight="1" x14ac:dyDescent="0.25">
      <c r="B117" s="35"/>
      <c r="D117" s="67"/>
      <c r="F117" s="7"/>
      <c r="G117" s="7"/>
      <c r="H117" s="7"/>
      <c r="I117" s="7"/>
      <c r="J117" s="5"/>
      <c r="K117" s="29"/>
      <c r="L117" s="5"/>
      <c r="P117" s="11"/>
    </row>
    <row r="118" spans="2:16" x14ac:dyDescent="0.25">
      <c r="D118" s="74"/>
      <c r="F118" s="5"/>
      <c r="G118" s="5"/>
      <c r="H118" s="5"/>
      <c r="I118" s="5"/>
      <c r="J118" s="5"/>
      <c r="K118" s="5"/>
      <c r="L118" s="5"/>
      <c r="P118" s="10"/>
    </row>
    <row r="119" spans="2:16" x14ac:dyDescent="0.25">
      <c r="B119" s="55" t="s">
        <v>52</v>
      </c>
      <c r="D119" s="74"/>
      <c r="F119" s="5"/>
      <c r="G119" s="5"/>
      <c r="H119" s="5"/>
      <c r="I119" s="5"/>
      <c r="J119" s="5"/>
      <c r="K119" s="5"/>
      <c r="L119" s="5"/>
      <c r="P119" s="10"/>
    </row>
    <row r="120" spans="2:16" x14ac:dyDescent="0.25">
      <c r="B120" s="55" t="s">
        <v>53</v>
      </c>
      <c r="D120" s="74"/>
      <c r="F120" s="5"/>
      <c r="G120" s="5"/>
      <c r="H120" s="5"/>
      <c r="I120" s="5"/>
      <c r="J120" s="5"/>
      <c r="K120" s="29"/>
      <c r="L120" s="5"/>
      <c r="N120" s="12"/>
    </row>
    <row r="121" spans="2:16" x14ac:dyDescent="0.25">
      <c r="B121" s="55" t="s">
        <v>54</v>
      </c>
      <c r="K121" s="30"/>
    </row>
    <row r="122" spans="2:16" x14ac:dyDescent="0.25">
      <c r="B122" s="55" t="s">
        <v>72</v>
      </c>
      <c r="K122" s="30"/>
    </row>
    <row r="123" spans="2:16" x14ac:dyDescent="0.25">
      <c r="B123" s="55" t="s">
        <v>55</v>
      </c>
      <c r="K123" s="30"/>
    </row>
    <row r="124" spans="2:16" x14ac:dyDescent="0.25">
      <c r="B124" s="55" t="s">
        <v>56</v>
      </c>
      <c r="K124" s="30"/>
    </row>
    <row r="125" spans="2:16" x14ac:dyDescent="0.25">
      <c r="B125" s="55" t="s">
        <v>60</v>
      </c>
      <c r="K125" s="30"/>
    </row>
    <row r="126" spans="2:16" x14ac:dyDescent="0.25">
      <c r="B126" s="55" t="s">
        <v>57</v>
      </c>
      <c r="K126" s="30"/>
    </row>
    <row r="127" spans="2:16" x14ac:dyDescent="0.25">
      <c r="B127" s="55" t="s">
        <v>58</v>
      </c>
      <c r="K127" s="30"/>
    </row>
    <row r="128" spans="2:16" x14ac:dyDescent="0.25">
      <c r="B128" s="55" t="s">
        <v>59</v>
      </c>
      <c r="K128" s="30"/>
    </row>
  </sheetData>
  <conditionalFormatting sqref="B2:C2">
    <cfRule type="expression" dxfId="1" priority="2">
      <formula>+SUM(#REF!)&lt;&gt;0</formula>
    </cfRule>
  </conditionalFormatting>
  <conditionalFormatting sqref="E2">
    <cfRule type="expression" dxfId="0" priority="1">
      <formula>+SUM(#REF!)&lt;&gt;0</formula>
    </cfRule>
  </conditionalFormatting>
  <pageMargins left="0.70866141732283472" right="0.70866141732283472" top="0.74803149606299213" bottom="0.74803149606299213" header="0.31496062992125984" footer="0.31496062992125984"/>
  <pageSetup paperSize="9" scale="6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RRE Sample Accounting</vt:lpstr>
      <vt:lpstr>'RRE Sample Accounting'!Área_de_impresión</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Rafael Soto</dc:creator>
  <cp:lastModifiedBy>Nicolas Criado</cp:lastModifiedBy>
  <cp:lastPrinted>2018-09-28T13:19:12Z</cp:lastPrinted>
  <dcterms:created xsi:type="dcterms:W3CDTF">2010-12-03T12:59:50Z</dcterms:created>
  <dcterms:modified xsi:type="dcterms:W3CDTF">2018-09-28T15:20:29Z</dcterms:modified>
</cp:coreProperties>
</file>